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65" windowWidth="19140" windowHeight="6210" tabRatio="895" firstSheet="6" activeTab="10"/>
  </bookViews>
  <sheets>
    <sheet name="Indice" sheetId="1" r:id="rId1"/>
    <sheet name="La casa sul filo" sheetId="2" r:id="rId2"/>
    <sheet name="Consulenza legale" sheetId="3" r:id="rId3"/>
    <sheet name="Progetto AAA" sheetId="4" r:id="rId4"/>
    <sheet name="Borgo solidale San Francesco " sheetId="5" r:id="rId5"/>
    <sheet name="Casa accoglienza donne e figli " sheetId="6" r:id="rId6"/>
    <sheet name="Centro specialistico Il faro " sheetId="7" r:id="rId7"/>
    <sheet name="Servizio Affido " sheetId="8" r:id="rId8"/>
    <sheet name="Servizio Fam. Accoglienti " sheetId="9" r:id="rId9"/>
    <sheet name="Buoni spesa" sheetId="10" r:id="rId10"/>
    <sheet name="Contributi economici " sheetId="11" r:id="rId11"/>
    <sheet name="Borse Lavoro " sheetId="12" r:id="rId12"/>
    <sheet name="Educazione al lavoro " sheetId="13" r:id="rId13"/>
    <sheet name="Interventi individuali " sheetId="14" r:id="rId14"/>
    <sheet name="Interventi di gruppo " sheetId="15" r:id="rId15"/>
    <sheet name="Educativa di strada " sheetId="16" r:id="rId16"/>
    <sheet name="Incontri protetti" sheetId="17" r:id="rId17"/>
    <sheet name="Mediazione interculturale" sheetId="18" r:id="rId18"/>
    <sheet name="Insegnamento lingua italiana" sheetId="19" r:id="rId19"/>
    <sheet name="Tempo libero disabili " sheetId="20" r:id="rId20"/>
    <sheet name="Centri Estivi  " sheetId="21" r:id="rId21"/>
    <sheet name="Gite disabili" sheetId="22" r:id="rId22"/>
    <sheet name="Mediatori scolastici" sheetId="23" r:id="rId23"/>
    <sheet name="Accompagnam. scolastico" sheetId="24" r:id="rId24"/>
    <sheet name="Educativa scolastica " sheetId="25" r:id="rId25"/>
    <sheet name="PRIS" sheetId="26" r:id="rId26"/>
    <sheet name="Provvedimenti giudiziari " sheetId="27" r:id="rId27"/>
    <sheet name="Rette residenziali " sheetId="28" r:id="rId28"/>
  </sheets>
  <definedNames>
    <definedName name="_xlnm._FilterDatabase" localSheetId="24" hidden="1">'Educativa scolastica '!$C$1:$C$306</definedName>
  </definedNames>
  <calcPr fullCalcOnLoad="1"/>
</workbook>
</file>

<file path=xl/comments20.xml><?xml version="1.0" encoding="utf-8"?>
<comments xmlns="http://schemas.openxmlformats.org/spreadsheetml/2006/main">
  <authors>
    <author>3cimeadm</author>
  </authors>
  <commentList>
    <comment ref="A38" authorId="0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nel gruppo anche due utenti di Monte San Pietro</t>
        </r>
      </text>
    </comment>
  </commentList>
</comments>
</file>

<file path=xl/sharedStrings.xml><?xml version="1.0" encoding="utf-8"?>
<sst xmlns="http://schemas.openxmlformats.org/spreadsheetml/2006/main" count="1788" uniqueCount="372">
  <si>
    <r>
      <t xml:space="preserve">I mediatori scolastici sono giovani diplomati/e o studenti universitari/e con funzioni di tutor amicale a favore di studenti con disabililtà frequentanti le Scuole Secondarie di secondo grado. Il progetto di tutor amicale è presentato dalle scuole alle quali afferiscono gli studenti del territorio e corrisponde a un contributo in denaro a sostegno dell'attività. </t>
    </r>
    <r>
      <rPr>
        <sz val="14"/>
        <rFont val="Helvetica"/>
        <family val="2"/>
      </rPr>
      <t xml:space="preserve">
</t>
    </r>
  </si>
  <si>
    <t xml:space="preserve">GITE DISABILI                                                                                       </t>
  </si>
  <si>
    <r>
      <t xml:space="preserve">MEDIATORI SCOLASTICI                                                                                 </t>
    </r>
    <r>
      <rPr>
        <sz val="10"/>
        <rFont val="Helvetica"/>
        <family val="2"/>
      </rPr>
      <t xml:space="preserve">  </t>
    </r>
  </si>
  <si>
    <r>
      <t xml:space="preserve">ACCOMPAGNAMENTO SCOLASTICO                                                                                                                  </t>
    </r>
    <r>
      <rPr>
        <sz val="10"/>
        <rFont val="Helvetica"/>
        <family val="0"/>
      </rPr>
      <t xml:space="preserve">    </t>
    </r>
  </si>
  <si>
    <r>
      <t xml:space="preserve">EDUCATIVA SCOLASTICA                                                                                                                                        </t>
    </r>
    <r>
      <rPr>
        <sz val="10"/>
        <rFont val="Helvetica"/>
        <family val="0"/>
      </rPr>
      <t xml:space="preserve"> </t>
    </r>
  </si>
  <si>
    <r>
      <t>RETTE RESIDENZIALI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</si>
  <si>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t>La mediazione interculturale è un intervento a favore di minori di origine non italiana che ha l'obiettivo di facilitare il dialogo tra Scuola, Servizi e famiglie.Si tratta di interventi di mediatrici/tori occasionali per tutte le aree linguistico-culturali fatta eccezione per quelle araba e russa, romena, moldava per le quali sono attive le mediatrici di ASC InSieme.</t>
  </si>
  <si>
    <t>CSAPSA</t>
  </si>
  <si>
    <t>Gruppo Restate con Noi</t>
  </si>
  <si>
    <t>Gruppo Gravi</t>
  </si>
  <si>
    <t>CADIAI</t>
  </si>
  <si>
    <t>Famiglia affidataria</t>
  </si>
  <si>
    <t>Comune</t>
  </si>
  <si>
    <t>Nucleo</t>
  </si>
  <si>
    <t>Costo</t>
  </si>
  <si>
    <t xml:space="preserve">Costo </t>
  </si>
  <si>
    <t>Spese</t>
  </si>
  <si>
    <t>Costo interventi</t>
  </si>
  <si>
    <t>Costo trasporti</t>
  </si>
  <si>
    <t>Spese varie</t>
  </si>
  <si>
    <t>Totale</t>
  </si>
  <si>
    <t>Famiglia accogliente</t>
  </si>
  <si>
    <t xml:space="preserve">Sostegno al reddito 40071155 </t>
  </si>
  <si>
    <t>Ore di</t>
  </si>
  <si>
    <t>CASALECCHIO DI RENO</t>
  </si>
  <si>
    <t>MONTE SAN PIETRO</t>
  </si>
  <si>
    <t>BAZZANO</t>
  </si>
  <si>
    <t>CASTELLO DI SERRAVALLE</t>
  </si>
  <si>
    <t>CRESPELLANO</t>
  </si>
  <si>
    <t>MONTEVEGLIO</t>
  </si>
  <si>
    <t>SASSO MARCONI</t>
  </si>
  <si>
    <t>SAVIGNO</t>
  </si>
  <si>
    <t>ZOLA PREDOSA</t>
  </si>
  <si>
    <t>M</t>
  </si>
  <si>
    <t>F</t>
  </si>
  <si>
    <t>n. utenti</t>
  </si>
  <si>
    <t>italiani</t>
  </si>
  <si>
    <t>stranieri*</t>
  </si>
  <si>
    <t>età*</t>
  </si>
  <si>
    <t>TUTELE</t>
  </si>
  <si>
    <t>TOTALE BAZZANO</t>
  </si>
  <si>
    <t>Composizione nucleo</t>
  </si>
  <si>
    <t>Struttura</t>
  </si>
  <si>
    <t>madre + 2 figli</t>
  </si>
  <si>
    <t>centro estivo</t>
  </si>
  <si>
    <t>VIGILANZA</t>
  </si>
  <si>
    <t>Il Millepiedi</t>
  </si>
  <si>
    <t>GECO/Csapsa</t>
  </si>
  <si>
    <t>pre-post Masi</t>
  </si>
  <si>
    <t>Plesso educatori</t>
  </si>
  <si>
    <t>Progetto Disagio</t>
  </si>
  <si>
    <t>Progetto Hip-Hop</t>
  </si>
  <si>
    <t>Istituto comprensivo Zola P.</t>
  </si>
  <si>
    <t>Coordinamento</t>
  </si>
  <si>
    <t>LINK-UP</t>
  </si>
  <si>
    <t xml:space="preserve">Mediatore turco </t>
  </si>
  <si>
    <t xml:space="preserve">Mediatore cinese </t>
  </si>
  <si>
    <t>Esoneri Centro estivo UISP</t>
  </si>
  <si>
    <t>Servizio Affido</t>
  </si>
  <si>
    <t>Il Servizio Affido è una forma di sostegno rivolta alle famiglie affidatarie.</t>
  </si>
  <si>
    <t>Totale per Affido</t>
  </si>
  <si>
    <t>Il Servizio Famiglie Accoglienti è una forma di sostegno a favore di famiglie che accolgono minori.</t>
  </si>
  <si>
    <t>madre dei Lotfi</t>
  </si>
  <si>
    <t>2 fratelli</t>
  </si>
  <si>
    <t>feb-dic</t>
  </si>
  <si>
    <t>Belluzzi</t>
  </si>
  <si>
    <t>Da Vinci</t>
  </si>
  <si>
    <t>TOTALE CRESPELLANO</t>
  </si>
  <si>
    <t>Ore di intervento</t>
  </si>
  <si>
    <t>CURATELA</t>
  </si>
  <si>
    <t>ottobre-dicembre 2010</t>
  </si>
  <si>
    <t>gennaio-dicembre 2010</t>
  </si>
  <si>
    <t>Overseas ONLUS (Ferrari Valentina)</t>
  </si>
  <si>
    <t>gennaio-dicembre</t>
  </si>
  <si>
    <t>Utenti vari</t>
  </si>
  <si>
    <t>giugno-dicembre</t>
  </si>
  <si>
    <t>mamma-bambino</t>
  </si>
  <si>
    <t>L'accompagnamento scolastico è un servizio rivolto a minori con disabilità per il tragitto da casa a Scuola e ritorno (in alcuni casi da casa a Centri Diurni e ritorno).</t>
  </si>
  <si>
    <t>Per tempo libero minori disabili si intendono tutti gli interventi educativi extra-scolastici rivolti a minori con disabilità. L'obiettivo è quello di supportare la costruzione di relazioni con il gruppo dei pari e degli/delle adulti/e di riferimento.</t>
  </si>
  <si>
    <t xml:space="preserve"> Per gite disabili si intendono gli interventi educativi per l'accompagnamento di minori con disabilità durante le gite scolastiche o i soggiorni estivi superiori a un giorno.</t>
  </si>
  <si>
    <t>minore non accompagnato</t>
  </si>
  <si>
    <t>madre con minore</t>
  </si>
  <si>
    <t>Il Faro</t>
  </si>
  <si>
    <t>TOTALE ZOLA PREDOSA</t>
  </si>
  <si>
    <t xml:space="preserve">Direzione Didattica  </t>
  </si>
  <si>
    <t>Beata Vergine di Lourdes</t>
  </si>
  <si>
    <t>ITCS Salvemini</t>
  </si>
  <si>
    <t>Istituto Primo Levi</t>
  </si>
  <si>
    <t>IIS Spallanzani</t>
  </si>
  <si>
    <t>Croce Servizi</t>
  </si>
  <si>
    <t>Consorzio Aldebaran</t>
  </si>
  <si>
    <t>Insieme per il Bilinguismo</t>
  </si>
  <si>
    <t>Domus</t>
  </si>
  <si>
    <t>AUSL Asolo</t>
  </si>
  <si>
    <t>COOP Babini</t>
  </si>
  <si>
    <t>Situazione</t>
  </si>
  <si>
    <t>Tutela</t>
  </si>
  <si>
    <t>Curatela</t>
  </si>
  <si>
    <t>Affido</t>
  </si>
  <si>
    <t>Affido limitato</t>
  </si>
  <si>
    <t>Vigilanza</t>
  </si>
  <si>
    <t>madre + figlia</t>
  </si>
  <si>
    <t>madre + 1 figlio</t>
  </si>
  <si>
    <t>madre + 3 figli</t>
  </si>
  <si>
    <t>padre + 2 figli</t>
  </si>
  <si>
    <t>esoneri cento estivo</t>
  </si>
  <si>
    <t>aprile</t>
  </si>
  <si>
    <t>nov-dic</t>
  </si>
  <si>
    <t>feb-mar</t>
  </si>
  <si>
    <t>apr-dic</t>
  </si>
  <si>
    <t>mar-apr</t>
  </si>
  <si>
    <t>mar-ago</t>
  </si>
  <si>
    <t>mar-mag</t>
  </si>
  <si>
    <t>kilometri e spese</t>
  </si>
  <si>
    <t>Gruppo a Ruota Libera (Galletti e Sulaj)</t>
  </si>
  <si>
    <t>Pasti educatori centri estivi Masi</t>
  </si>
  <si>
    <t>mar-giu</t>
  </si>
  <si>
    <t>TOTALE CASTELLO SERRAVALLE</t>
  </si>
  <si>
    <t>Opera Padre Marella</t>
  </si>
  <si>
    <t>Società Dolce</t>
  </si>
  <si>
    <t>La Piccola Carovana</t>
  </si>
  <si>
    <t>Matteo 25</t>
  </si>
  <si>
    <t>La Rupe</t>
  </si>
  <si>
    <t>Triana e Tyche</t>
  </si>
  <si>
    <t>COOP Metoikos</t>
  </si>
  <si>
    <t>COOP Domus</t>
  </si>
  <si>
    <t>Comunità S. Maria della Venenta</t>
  </si>
  <si>
    <t>Associazione Mondo Donna</t>
  </si>
  <si>
    <t>Associazione Il Piccolo Principe</t>
  </si>
  <si>
    <t>Fondazione La Grande Casa</t>
  </si>
  <si>
    <t>Servizio Accoglienza alla Vita</t>
  </si>
  <si>
    <t>Comunità Papa Giovanni XXIII</t>
  </si>
  <si>
    <t>COOP L'imprevisto</t>
  </si>
  <si>
    <t>Opera S. Maria di Nazareth</t>
  </si>
  <si>
    <t>Noi Italia ONLUS</t>
  </si>
  <si>
    <t>gen-sett</t>
  </si>
  <si>
    <t>gen-maggio</t>
  </si>
  <si>
    <t>aprile-ago</t>
  </si>
  <si>
    <t>luglio-sett</t>
  </si>
  <si>
    <t>mar-dic</t>
  </si>
  <si>
    <t>TOTALE  SASSO MARCONI</t>
  </si>
  <si>
    <t>minore non accompagnata</t>
  </si>
  <si>
    <t>madre e 1 minore</t>
  </si>
  <si>
    <t>madre e due bambine</t>
  </si>
  <si>
    <t>genitori e 2 minori</t>
  </si>
  <si>
    <t>madre e minori</t>
  </si>
  <si>
    <t>minore con madre</t>
  </si>
  <si>
    <t>gen-</t>
  </si>
  <si>
    <t>madre + 1 minore</t>
  </si>
  <si>
    <t>madre + 2 minori</t>
  </si>
  <si>
    <t xml:space="preserve">madre + 3 minori </t>
  </si>
  <si>
    <t>padre + madre + 3 minori</t>
  </si>
  <si>
    <t>pre-post scuola</t>
  </si>
  <si>
    <t>Rette residenziali famiglie e minori</t>
  </si>
  <si>
    <t>madre +  1 figlia</t>
  </si>
  <si>
    <t>madre + 1 figlia</t>
  </si>
  <si>
    <t>Borgo solidale San Francesco è un complesso residenziale composto da diversi appartamenti. E' una risposta immediata alle situazioni di emergenza di persone e nuclei familiari in difficoltà socio-economica e/o abitativa. Al momento sono attivi due appartamenti destinati all'accoglienza di quattro nuclei madre-figli/e (due nuclei per ogni appartamento), due appartamenti destinati a nuclei familiari e un appartamento destinato a quattro adulti maschi.</t>
  </si>
  <si>
    <t>1977        1995        1999</t>
  </si>
  <si>
    <t>1972        1998        2002        2006</t>
  </si>
  <si>
    <t>Le Borse Lavoro sono progetti di sostegno per minori con disagio finalizzati all'inserimento nel mondo del lavoro, o all'alternanza scuola-lavoro, per il contrasto dell'evasione e l'assolvimento dell'obbligo scolastico.</t>
  </si>
  <si>
    <t>Utenti</t>
  </si>
  <si>
    <t>Italiani</t>
  </si>
  <si>
    <t>Stranieri</t>
  </si>
  <si>
    <t>Anno di nascita</t>
  </si>
  <si>
    <t>Costo orario</t>
  </si>
  <si>
    <t xml:space="preserve">Comune </t>
  </si>
  <si>
    <t>Gli interventi individuali per la prevenzione del disagio sono azioni educative, di accompagnamento e di sostegno, rivolte a minori in situazioni di disagio psico-sociale negli ambiti familiare, scolastico e sociale.</t>
  </si>
  <si>
    <t>Gli interventi di gruppo per la prevenzione del disagio sono luoghi di incontro mediati da una figura educativa. Sono rivolti a minori dai 10 ai 14 anni a rischio di disagio psico-sociale, segnalati dalla Scuola e/o già in carico ai Servizi.</t>
  </si>
  <si>
    <t>Gli ncontri protetti sono colloqui tra genitori e figli/e, alla presenza di un educatore professionale, finalizzati a favorire la relazione genitoriale-filiale e a garantire ai/alle bambini/e un'interazione protetta e tutelata.</t>
  </si>
  <si>
    <t>Per insegnamento della lingua italiana si intendono gli incarichi, affidati a esperte del settore, per rinforzare l'apprendimento di alunni/e di origine non italiana. Gli interventi hanno l'obiettivo di supportare lo studio e di favorire l'integrazione scolastica e sociale.</t>
  </si>
  <si>
    <t>Per rette residenziali si intendono i costi per l'inserimento in struttura di madri con figli/e o di minori in situazioni di grave difficoltà o pregiudizio, nonché le spese per strutture alberghiere o di pronta accoglienza per l'ospitalità di nuclei in condizioni di emergenza abitativa.</t>
  </si>
  <si>
    <t>esenzione dopo scuola (ott-dic)</t>
  </si>
  <si>
    <t>luglio-dic</t>
  </si>
  <si>
    <t>ott-dic</t>
  </si>
  <si>
    <t>TOTALE MONTE SAN PIETRO</t>
  </si>
  <si>
    <t>TOTALE SASSO MARCONI</t>
  </si>
  <si>
    <t>3 minori</t>
  </si>
  <si>
    <t>marzo-dic</t>
  </si>
  <si>
    <t>sett-dic</t>
  </si>
  <si>
    <t>Fornitore</t>
  </si>
  <si>
    <t>sospeso</t>
  </si>
  <si>
    <t>TOTALE DISTRETTO</t>
  </si>
  <si>
    <r>
      <t xml:space="preserve">
</t>
    </r>
    <r>
      <rPr>
        <sz val="12"/>
        <rFont val="Helvetica"/>
        <family val="0"/>
      </rPr>
      <t>Tre alloggi, di cui uno nel Comune di Crespellano e due nel Comune di Casalecchio di Reno, destinati ad accogliere nuclei monogenitoriali in condizione di elevato rischio psico-sociale. In uno dei tre alloggi, è prevista l'accoglienza di due nuclei in convivenza.</t>
    </r>
    <r>
      <rPr>
        <b/>
        <sz val="12"/>
        <rFont val="Helvetica"/>
        <family val="0"/>
      </rPr>
      <t xml:space="preserve">
</t>
    </r>
  </si>
  <si>
    <r>
      <t>Il Faro è un centro specialistico provinciale che si occupa di maltrattamento e abuso ai danni di minori. Offre consulenza di elevata competenza, multidisciplinare e interdiscilpinare (psicologica, psichiatrica, pedagogica, pediatrica, ginecologica, giuridica), sul piano diagnostico, clinico e terapeutico.</t>
    </r>
    <r>
      <rPr>
        <b/>
        <sz val="12"/>
        <rFont val="Helvetica"/>
        <family val="0"/>
      </rPr>
      <t xml:space="preserve">
</t>
    </r>
  </si>
  <si>
    <t>Cooperativa</t>
  </si>
  <si>
    <t>L'educativa di strada è un'attività mediata da una o più figure educative, rivolta a gruppi spontanei di adolescenti e giovani nei luoghi naturali di ritrovo. L'attività è finalizzata a costruire una relazione significativa tra i/le componenti del gruppo e tra questi/e e gli/le educatori/trici, anche attraverso l'organizzazione di iniziative specifiche.</t>
  </si>
  <si>
    <t>TOTALE PROVVEDIMENTI DISTRETTO</t>
  </si>
  <si>
    <t>PRIS</t>
  </si>
  <si>
    <t>TOTALE CASTELLO DI SERRAVALLE</t>
  </si>
  <si>
    <t>Casa Accoglienza</t>
  </si>
  <si>
    <t>Orario</t>
  </si>
  <si>
    <t>Interventi</t>
  </si>
  <si>
    <t>Trasporti</t>
  </si>
  <si>
    <t>Costo complessivo</t>
  </si>
  <si>
    <t>Istituto</t>
  </si>
  <si>
    <t>Ore</t>
  </si>
  <si>
    <t>Rimborso spese</t>
  </si>
  <si>
    <t xml:space="preserve">Istituto </t>
  </si>
  <si>
    <t>Periodo</t>
  </si>
  <si>
    <t xml:space="preserve">Totale </t>
  </si>
  <si>
    <t xml:space="preserve">Periodo </t>
  </si>
  <si>
    <t xml:space="preserve">Istituto Comprensivo </t>
  </si>
  <si>
    <t>Mediatori</t>
  </si>
  <si>
    <t xml:space="preserve">Costo trasporti </t>
  </si>
  <si>
    <t>TOTALE CASALECCHIO DI RENO</t>
  </si>
  <si>
    <t>Acquisto libri</t>
  </si>
  <si>
    <t>ALTAR SRL</t>
  </si>
  <si>
    <t>LIBERTAS</t>
  </si>
  <si>
    <t>Gita Feliziani e Muratori</t>
  </si>
  <si>
    <t>Fondazione Gualandi</t>
  </si>
  <si>
    <t>rimborso kilometrico</t>
  </si>
  <si>
    <t>Quantità</t>
  </si>
  <si>
    <t>Valore nominale             € 25,00</t>
  </si>
  <si>
    <t>TOTALE MONTEVEGLIO</t>
  </si>
  <si>
    <t>1953        1965        1990        1992         1995       1999</t>
  </si>
  <si>
    <t>Anffas</t>
  </si>
  <si>
    <t>Associazione Noi Italia</t>
  </si>
  <si>
    <t>C.S.A.P.S.A, Coop Metoikos, Gruppo Betania ONLUS</t>
  </si>
  <si>
    <t>due minori</t>
  </si>
  <si>
    <t>Comune di Bologna</t>
  </si>
  <si>
    <t>lug-dic</t>
  </si>
  <si>
    <t>madre + 1 fminore</t>
  </si>
  <si>
    <t>nucleo familiare</t>
  </si>
  <si>
    <t>TOTALE SAVIGNO</t>
  </si>
  <si>
    <t>Gesti di carta</t>
  </si>
  <si>
    <t>gen.dic</t>
  </si>
  <si>
    <t>giu-lug</t>
  </si>
  <si>
    <t>provvedimento ex art 25 TM</t>
  </si>
  <si>
    <t>Vigilanza trasferiti a monteveglio</t>
  </si>
  <si>
    <t>AFFIDI</t>
  </si>
  <si>
    <t xml:space="preserve">esenzione dopo scuola (gen-giu) </t>
  </si>
  <si>
    <t>DOMUS COOP</t>
  </si>
  <si>
    <t>intervento</t>
  </si>
  <si>
    <t>orario</t>
  </si>
  <si>
    <t>interventi</t>
  </si>
  <si>
    <t>trasporti</t>
  </si>
  <si>
    <t>GECO</t>
  </si>
  <si>
    <t>TOTALE individuali</t>
  </si>
  <si>
    <t>Per provvedimenti dell'Autorità Giudiziaria si intende l'attuazione dei decreti emessi in favore di minori in situazione di grave difficoltà o pregiudizio, con prescrizione ai Servizi. In particolare: vigilanza sulla situazione familiare, affidamento del/della minore al Servizio (in caso di limitazione della potestà genitoriale), tutela da parte del Servizio (in caso di decadenza della potestà genitoriale).</t>
  </si>
  <si>
    <t>AUSL</t>
  </si>
  <si>
    <t>Polisportiva Masi</t>
  </si>
  <si>
    <t xml:space="preserve">Per educazione al lavoro si intendono una serie di interventi volti a favorire il pieno sviluppo della personalità degli/delle adolescenti e dei/delle giovani sul piano culturale, sociale ed economico anche attraverso il coinvolgimento delle loro famiglie in un progetto educativo mirato e condiviso. </t>
  </si>
  <si>
    <t>Libertas</t>
  </si>
  <si>
    <t>GECO/Libertas</t>
  </si>
  <si>
    <t>Eurocamp</t>
  </si>
  <si>
    <t>Per educativa scolastica si intendono gli interventi educativi a sostegno dell'attività scolastica rivolti a minori con disabilità e/o disagio. Gli interventi sono previsti per tutti gli ordini di Scuola (Nido, Infanzia, Primaria e Secondaria).</t>
  </si>
  <si>
    <t>Per Pronto Intervento Sociale (PRIS) si intendono tutti quegli interventi d'urgenza in situazioni di particolare gravità che si presentano al di fuori degli orari di apertura dei Servizi (minori e/o donne vittime di maltrattamenti e/o di abbandono, nuclei in grave e improvvisa difficoltà).</t>
  </si>
  <si>
    <t xml:space="preserve">Contributi in denaro per sostegno al reddito (utenze, spese sanitarie e scolastiche, spese di prima necessità) ed emergenze abitative (affitti, caparre) a favore di famiglie con minori in situazione di disagio socio-economico. </t>
  </si>
  <si>
    <t>Data Intervento</t>
  </si>
  <si>
    <t>Costo orario lordo</t>
  </si>
  <si>
    <t>febbraio-dicembre 2010</t>
  </si>
  <si>
    <t>febbraio-giugno 2010</t>
  </si>
  <si>
    <t>Corsi realizzati nel 2010</t>
  </si>
  <si>
    <t>Coppie prima informazione</t>
  </si>
  <si>
    <t>Coppie che hanno partecipato e concluso</t>
  </si>
  <si>
    <t>Coppie in attesa di indagine psicosociale per adozione</t>
  </si>
  <si>
    <t>Coppie che hanno concluso l'indagine psicosociale  per adozione</t>
  </si>
  <si>
    <t>Coppie che hanno sospeso/interrotto  l'indagine psicosociale</t>
  </si>
  <si>
    <t>Decreti di adozione nazionale</t>
  </si>
  <si>
    <t>Decreti di adozione internazionale</t>
  </si>
  <si>
    <t>Tutela (maggiorenne)</t>
  </si>
  <si>
    <t>Affido (maggiorenne)</t>
  </si>
  <si>
    <t>Affido (trasferiti in Belgio)</t>
  </si>
  <si>
    <t>Affido (archiviato)</t>
  </si>
  <si>
    <t xml:space="preserve">Associazione Girotondo </t>
  </si>
  <si>
    <r>
      <t xml:space="preserve">CENTRO SPECIALISTICO IL FARO                                           </t>
    </r>
    <r>
      <rPr>
        <sz val="10"/>
        <rFont val="Helvetica"/>
        <family val="0"/>
      </rPr>
      <t xml:space="preserve"> 40070183</t>
    </r>
  </si>
  <si>
    <t>A questa voce corrispondono  gli interventi educativi a favore di minori con disabilità nell'ambito dei Centri Estivi</t>
  </si>
  <si>
    <t>Progetto classe Riale</t>
  </si>
  <si>
    <t>Totale Borsa Lavoro</t>
  </si>
  <si>
    <t>Provvedimento</t>
  </si>
  <si>
    <t>chiuso</t>
  </si>
  <si>
    <t>fondazione Lamma</t>
  </si>
  <si>
    <t>libertas</t>
  </si>
  <si>
    <t xml:space="preserve">Gruppo Crespoleggiati </t>
  </si>
  <si>
    <t>giu-ago</t>
  </si>
  <si>
    <t>ago-dic</t>
  </si>
  <si>
    <t>aperto</t>
  </si>
  <si>
    <t>giu-dic</t>
  </si>
  <si>
    <t>Servizio pronta accoglienza</t>
  </si>
  <si>
    <t>CSAPSA 2</t>
  </si>
  <si>
    <t>gennaio</t>
  </si>
  <si>
    <t>minore</t>
  </si>
  <si>
    <t>4 persone</t>
  </si>
  <si>
    <t>PROVVEDIMENTI DELL'AUTORITA' GIUDIZIARIA (VIGILANZA, AFFIDO AL SERVIZIO, TUTELA)</t>
  </si>
  <si>
    <t>Educativa di strada</t>
  </si>
  <si>
    <t>LA RUPE</t>
  </si>
  <si>
    <t>Educazione al lavoro</t>
  </si>
  <si>
    <t>Gruppo socio-educativo</t>
  </si>
  <si>
    <t>Malavolta Stefania</t>
  </si>
  <si>
    <t>Pasquini Roberta</t>
  </si>
  <si>
    <t>Affido esculsivo alla madre</t>
  </si>
  <si>
    <t>Quota azienda USL</t>
  </si>
  <si>
    <t>TOTALE CASTELLO</t>
  </si>
  <si>
    <t>Servizi educativi</t>
  </si>
  <si>
    <t xml:space="preserve">Pasti educatori centri estivi </t>
  </si>
  <si>
    <t>Olavide De La Torre Irene</t>
  </si>
  <si>
    <t>gen-dic</t>
  </si>
  <si>
    <t>aprile-dic</t>
  </si>
  <si>
    <t>L'Orizzonte S.C. S. a R.L.</t>
  </si>
  <si>
    <t>Trama di Terre</t>
  </si>
  <si>
    <t>Consorzio Gruppo CEIS</t>
  </si>
  <si>
    <t>gen-giu</t>
  </si>
  <si>
    <t>gen-ott</t>
  </si>
  <si>
    <t>dicembre</t>
  </si>
  <si>
    <t>giugno</t>
  </si>
  <si>
    <t>Gruppo Aquilotti</t>
  </si>
  <si>
    <t>Servizio Famiglie Accoglienti</t>
  </si>
  <si>
    <t>AREA MINORI E FAMIGLIE</t>
  </si>
  <si>
    <t>La casa sul filo</t>
  </si>
  <si>
    <t xml:space="preserve">Consulenza legale </t>
  </si>
  <si>
    <t>Progetto AAA (Adozione Affido Accoglienza)</t>
  </si>
  <si>
    <t xml:space="preserve">Borgo solidale San Francesco </t>
  </si>
  <si>
    <t xml:space="preserve">Casa di accoglienza per donne con figli a elevato rischio psico-sociale </t>
  </si>
  <si>
    <t>Centro specialistico Il Faro</t>
  </si>
  <si>
    <t>Buoni spesa</t>
  </si>
  <si>
    <t>Contributi economici di sostegno al reddito e per emergenze abitative</t>
  </si>
  <si>
    <t xml:space="preserve">Borse Lavoro </t>
  </si>
  <si>
    <t>Prevenzione del disagio (interventi educativi individuali)</t>
  </si>
  <si>
    <t>Prevenzione del disagio (interventi socio-educativi di gruppo)</t>
  </si>
  <si>
    <t>Incontri protetti</t>
  </si>
  <si>
    <t>Mediazione interculturale</t>
  </si>
  <si>
    <t>Insegnamento lingua italiana</t>
  </si>
  <si>
    <t>Tempo libero minori disabili</t>
  </si>
  <si>
    <t>Centri Estivi e esoneri pagamento rette</t>
  </si>
  <si>
    <t>Gite disabili</t>
  </si>
  <si>
    <t>Mediatori scolastici</t>
  </si>
  <si>
    <t xml:space="preserve">Accompagnamento scolastico </t>
  </si>
  <si>
    <t>Educativa scolastica</t>
  </si>
  <si>
    <t>Provvedimenti dell'Autorità Giudiziaria (Vigilanza, Affido al Servizio, Tutela)</t>
  </si>
  <si>
    <t xml:space="preserve">Rette residenziali </t>
  </si>
  <si>
    <t>LA CASA SUL FILO</t>
  </si>
  <si>
    <r>
      <t>La casa sul filo è un programma di prevenzione della violenza intrafamiliare sviluppato attorno all'omonimo cd rom, uno strumento multimediale e interattivo per l'educazione alla differenza e alla relazione tra i generi. L'offerta è quella di attività di sensibilizzazione e di formazione per le Scuole Secondarie di secondo grado frequentate dai/dalle giovani territorio distrettuale.</t>
    </r>
    <r>
      <rPr>
        <b/>
        <sz val="12"/>
        <rFont val="Helvetica"/>
        <family val="0"/>
      </rPr>
      <t xml:space="preserve"> </t>
    </r>
  </si>
  <si>
    <t xml:space="preserve">Scuola </t>
  </si>
  <si>
    <t>Incontri</t>
  </si>
  <si>
    <t xml:space="preserve">Ore </t>
  </si>
  <si>
    <t>Spesa complessiva</t>
  </si>
  <si>
    <t xml:space="preserve">Istituto Scappi Casalecchio di Reno </t>
  </si>
  <si>
    <t xml:space="preserve">Istituto Salvemini Casalecchio di Reno </t>
  </si>
  <si>
    <t>Liceo Leonardo Da Vinci Casalecchio di Reno</t>
  </si>
  <si>
    <t>Istituto Paradisi Vignola</t>
  </si>
  <si>
    <t xml:space="preserve">CONSULENZA LEGALE </t>
  </si>
  <si>
    <r>
      <t>Il Servizio di Consulenza legale è realizzato in collaborazione con l’Unione Donne Italiane di Bologna (Associazione con un’ampia e specifica esperienza di tutela delle donne) e consiste nella presenza di un’avvocata del Gruppo Giustizia disponibile per colloqui gratuiti, individuali e di coppia, in materia di diritto di famiglia, tutela dei/delle minori, successioni, problemi di carattere legale e per incontri d’informazione e formazione con le assistenti sociali per adulti/e e minori operanti sul territorio.</t>
    </r>
    <r>
      <rPr>
        <b/>
        <sz val="12"/>
        <rFont val="Helvetica"/>
        <family val="0"/>
      </rPr>
      <t xml:space="preserve">
</t>
    </r>
  </si>
  <si>
    <t>Presenze avvocata</t>
  </si>
  <si>
    <t>Colloqui</t>
  </si>
  <si>
    <t>PROGETTO AAA (ADOZIONE AFFIDO ACCOGLIENZA)</t>
  </si>
  <si>
    <t xml:space="preserve">L'adozione è un provvedimento definitivo disposto dal Tribunale in favore di minori in stato di abbandono e privi di assistenza morale e materiale. L’affido consiste nell'accoglienza temporanea di minori presso una famiglia diversa dalla propria, nei casi in cui i genitori attraversino una situazione di difficoltà e non siano in grado di prendersi cura di loro in modo adeguato. L'accoglienza è una forma di solidarietà nei confronti di famiglie che, per diversi motivi, non riescono a far fronte agli impegni quotidiani, educativi e di accudimento, dei figli/e. AAA è un progetto che ha l'obiettivo di lavorare in modo integrato sui tre ambiti dell'adozione, dell'affido e dell'accoglienza al fine di prevenire i fallimenti adottivi, di limitare lo sradicamento dal proprio ambiente di vita e gli inserimenti in strutture esterne. </t>
  </si>
  <si>
    <t>Corsi/coppie</t>
  </si>
  <si>
    <t>Attività</t>
  </si>
  <si>
    <t>TOTALE  DISTRETTO</t>
  </si>
  <si>
    <t xml:space="preserve">BORGO SOLIDALE SAN FRANCESCO                                                            </t>
  </si>
  <si>
    <t xml:space="preserve">1967       2006       </t>
  </si>
  <si>
    <r>
      <t xml:space="preserve">CASA DI ACCOGLIENZA PER DONNE CON FIGLI A ELEVATO RISCHIO PSICO-SOCIALE                                </t>
    </r>
    <r>
      <rPr>
        <sz val="10"/>
        <rFont val="Helvetica"/>
        <family val="0"/>
      </rPr>
      <t xml:space="preserve">  </t>
    </r>
  </si>
  <si>
    <t xml:space="preserve">SERVIZIO AFFIDO                                                                                                              </t>
  </si>
  <si>
    <r>
      <t xml:space="preserve">SERVIZIO FAMIGLIE ACCOGLIENTI                                                                               </t>
    </r>
    <r>
      <rPr>
        <sz val="10"/>
        <rFont val="Helvetica"/>
        <family val="0"/>
      </rPr>
      <t>40071152</t>
    </r>
  </si>
  <si>
    <t>Totale per famiglia</t>
  </si>
  <si>
    <r>
      <t xml:space="preserve">BUONI SPESA                                                                                     </t>
    </r>
    <r>
      <rPr>
        <sz val="10"/>
        <rFont val="Helvetica"/>
        <family val="0"/>
      </rPr>
      <t xml:space="preserve"> </t>
    </r>
  </si>
  <si>
    <r>
      <t xml:space="preserve">CONTRIBUTI ECONOMICI DI SOSTEGNO AL REDDITO E PER MERGENZE ABITATIVE                                      </t>
    </r>
    <r>
      <rPr>
        <sz val="10"/>
        <rFont val="Helvetica"/>
        <family val="0"/>
      </rPr>
      <t xml:space="preserve">                                                                                                                                   </t>
    </r>
  </si>
  <si>
    <r>
      <t xml:space="preserve">BORSE LAVORO                                                                                     </t>
    </r>
    <r>
      <rPr>
        <sz val="10"/>
        <rFont val="Helvetica"/>
        <family val="0"/>
      </rPr>
      <t xml:space="preserve"> </t>
    </r>
  </si>
  <si>
    <r>
      <t xml:space="preserve">EDUCAZIONE AL LAVORO                                                                                                                </t>
    </r>
    <r>
      <rPr>
        <sz val="10"/>
        <rFont val="Helvetica"/>
        <family val="0"/>
      </rPr>
      <t xml:space="preserve">  </t>
    </r>
  </si>
  <si>
    <r>
      <t xml:space="preserve">PREVENZIONE DEL DISAGIO (INTERVENTI EDUCATIVI INDIVIDUALI)                                                          </t>
    </r>
    <r>
      <rPr>
        <sz val="10"/>
        <rFont val="Helvetica"/>
        <family val="0"/>
      </rPr>
      <t xml:space="preserve">       </t>
    </r>
  </si>
  <si>
    <r>
      <t xml:space="preserve">PREVENZIONE DEL DISAGIO (INTERVENTI SOCIO-EDUCATIVI DI GRUPPO)                 </t>
    </r>
    <r>
      <rPr>
        <sz val="10"/>
        <rFont val="Helvetica"/>
        <family val="0"/>
      </rPr>
      <t xml:space="preserve">                                </t>
    </r>
  </si>
  <si>
    <r>
      <t xml:space="preserve">EDUCATIVA DI STRADA                                                                                                                            </t>
    </r>
    <r>
      <rPr>
        <sz val="10"/>
        <rFont val="Helvetica"/>
        <family val="0"/>
      </rPr>
      <t xml:space="preserve"> </t>
    </r>
  </si>
  <si>
    <r>
      <t xml:space="preserve">INCONTRI PROTETTI                                                                                                                                                 </t>
    </r>
    <r>
      <rPr>
        <sz val="10"/>
        <rFont val="Helvetica"/>
        <family val="0"/>
      </rPr>
      <t xml:space="preserve">  </t>
    </r>
  </si>
  <si>
    <r>
      <t xml:space="preserve">MEDIAZIONE INTERCULTURALE                                                                             </t>
    </r>
    <r>
      <rPr>
        <sz val="10"/>
        <rFont val="Helvetica"/>
        <family val="0"/>
      </rPr>
      <t xml:space="preserve">  </t>
    </r>
  </si>
  <si>
    <t xml:space="preserve">INSEGNAMENTO LINGUA ITALIANA                                                                      </t>
  </si>
  <si>
    <r>
      <t xml:space="preserve">TEMPO LIBERO MINORI DISABILI                                                                                                                     </t>
    </r>
    <r>
      <rPr>
        <sz val="10"/>
        <rFont val="Helvetica"/>
        <family val="0"/>
      </rPr>
      <t xml:space="preserve">                   </t>
    </r>
  </si>
  <si>
    <t xml:space="preserve">CENTRI ESTIVI DISABILI                                                                                               </t>
  </si>
  <si>
    <t>Buoni per spese alimentari e di prima necessità, a sostegno del reddito di nuclei con minori in situazione di disagio socio-economico. I buoni sono spendibili presso esercizi commerciali convenzionati.</t>
  </si>
  <si>
    <t>Quota Azienda USL</t>
  </si>
  <si>
    <t>Quota Azienda USL (gennaio-febbraio)</t>
  </si>
  <si>
    <t xml:space="preserve">Quota Azienda USL </t>
  </si>
  <si>
    <t>Sopravvenienze passive Azienda USL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</si>
</sst>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_-* #,##0.00_-;\-* #,##0.00_-;_-* &quot;-&quot;_-;_-@_-"/>
    <numFmt numFmtId="167" formatCode="_-* #,##0_-;\-* #,##0_-;_-* &quot;-&quot;??_-;_-@_-"/>
    <numFmt numFmtId="168" formatCode="_-* #,##0.0_-;\-* #,##0.0_-;_-* &quot;-&quot;_-;_-@_-"/>
    <numFmt numFmtId="169" formatCode="_(* #,##0_);_(* \(#,##0\);_(* &quot;-&quot;_);_(@_)"/>
    <numFmt numFmtId="170" formatCode="\ #,##0.00;\-\ #,##0.00"/>
    <numFmt numFmtId="171" formatCode="hh:mm:ss"/>
    <numFmt numFmtId="172" formatCode="\€* #,##0.00"/>
    <numFmt numFmtId="173" formatCode="[$€-2]\ #,##0.00"/>
    <numFmt numFmtId="174" formatCode="#,##0.00_ ;\-#,##0.00\ "/>
    <numFmt numFmtId="175" formatCode="_-[$€-2]\ * #,##0.00_-;\-[$€-2]\ * #,##0.00_-;_-[$€-2]\ * &quot;-&quot;??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€&quot;\ #,##0"/>
    <numFmt numFmtId="181" formatCode="_-&quot;L.&quot;\ * #,##0.00_-;\-&quot;L.&quot;\ * #,##0.00_-;_-&quot;L.&quot;\ * &quot;-&quot;??_-;_-@_-"/>
    <numFmt numFmtId="182" formatCode="_-&quot;L.&quot;\ * #,##0_-;\-&quot;L.&quot;\ * #,##0_-;_-&quot;L.&quot;\ * &quot;-&quot;_-;_-@_-"/>
    <numFmt numFmtId="183" formatCode="0.000"/>
    <numFmt numFmtId="184" formatCode="0.0"/>
    <numFmt numFmtId="185" formatCode="#,##0.000"/>
    <numFmt numFmtId="186" formatCode="dd/mm/yy"/>
    <numFmt numFmtId="187" formatCode="0.0000"/>
    <numFmt numFmtId="188" formatCode="&quot;€&quot;\ #,##0.000"/>
    <numFmt numFmtId="189" formatCode="&quot;€&quot;#,##0.00;[Red]&quot;€&quot;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12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2"/>
    </font>
    <font>
      <b/>
      <sz val="12"/>
      <name val="Helvetica"/>
      <family val="0"/>
    </font>
    <font>
      <sz val="16"/>
      <name val="Helvetica"/>
      <family val="0"/>
    </font>
    <font>
      <sz val="14"/>
      <name val="HELVETICA"/>
      <family val="0"/>
    </font>
    <font>
      <sz val="12"/>
      <name val="Helvetica"/>
      <family val="0"/>
    </font>
    <font>
      <sz val="10"/>
      <name val="Helvetica"/>
      <family val="0"/>
    </font>
    <font>
      <b/>
      <sz val="8"/>
      <name val="Helvetica"/>
      <family val="0"/>
    </font>
    <font>
      <b/>
      <sz val="10"/>
      <name val="Helvetica"/>
      <family val="0"/>
    </font>
    <font>
      <sz val="8"/>
      <name val="Helvetica"/>
      <family val="0"/>
    </font>
    <font>
      <sz val="12"/>
      <name val="Helv"/>
      <family val="0"/>
    </font>
    <font>
      <b/>
      <sz val="12"/>
      <name val="Helv"/>
      <family val="0"/>
    </font>
    <font>
      <sz val="26"/>
      <name val="Helvetica"/>
      <family val="0"/>
    </font>
    <font>
      <b/>
      <sz val="10"/>
      <color indexed="60"/>
      <name val="Helvetica"/>
      <family val="0"/>
    </font>
    <font>
      <b/>
      <sz val="10"/>
      <color indexed="12"/>
      <name val="Helvetica"/>
      <family val="0"/>
    </font>
    <font>
      <sz val="10"/>
      <color indexed="12"/>
      <name val="Helvetica"/>
      <family val="0"/>
    </font>
    <font>
      <b/>
      <sz val="10"/>
      <color indexed="10"/>
      <name val="Helvetica"/>
      <family val="0"/>
    </font>
    <font>
      <b/>
      <sz val="12"/>
      <color indexed="60"/>
      <name val="Helvetica"/>
      <family val="0"/>
    </font>
    <font>
      <sz val="12"/>
      <color indexed="12"/>
      <name val="Helvetica"/>
      <family val="0"/>
    </font>
    <font>
      <b/>
      <sz val="10"/>
      <color indexed="48"/>
      <name val="Helvetica"/>
      <family val="0"/>
    </font>
    <font>
      <b/>
      <sz val="12"/>
      <color indexed="12"/>
      <name val="Helvetica"/>
      <family val="0"/>
    </font>
    <font>
      <b/>
      <sz val="12"/>
      <color indexed="12"/>
      <name val="Arial"/>
      <family val="2"/>
    </font>
    <font>
      <b/>
      <sz val="12"/>
      <color indexed="48"/>
      <name val="Helvetica"/>
      <family val="0"/>
    </font>
    <font>
      <sz val="12"/>
      <color indexed="48"/>
      <name val="Helvetica"/>
      <family val="0"/>
    </font>
    <font>
      <b/>
      <sz val="12"/>
      <color indexed="48"/>
      <name val="Arial"/>
      <family val="2"/>
    </font>
    <font>
      <sz val="14"/>
      <name val="Helvetica"/>
      <family val="2"/>
    </font>
    <font>
      <sz val="12"/>
      <color indexed="8"/>
      <name val="Arial"/>
      <family val="2"/>
    </font>
    <font>
      <b/>
      <sz val="12"/>
      <color indexed="49"/>
      <name val="Helvetic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164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top" wrapText="1"/>
    </xf>
    <xf numFmtId="0" fontId="36" fillId="25" borderId="12" xfId="0" applyFont="1" applyFill="1" applyBorder="1" applyAlignment="1">
      <alignment horizontal="left" vertical="center"/>
    </xf>
    <xf numFmtId="0" fontId="39" fillId="24" borderId="13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13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64" fontId="39" fillId="24" borderId="11" xfId="0" applyNumberFormat="1" applyFont="1" applyFill="1" applyBorder="1" applyAlignment="1">
      <alignment horizontal="center" vertical="top" wrapText="1"/>
    </xf>
    <xf numFmtId="0" fontId="36" fillId="24" borderId="13" xfId="0" applyFont="1" applyFill="1" applyBorder="1" applyAlignment="1">
      <alignment horizontal="center" vertical="top" wrapText="1"/>
    </xf>
    <xf numFmtId="0" fontId="36" fillId="25" borderId="13" xfId="0" applyFont="1" applyFill="1" applyBorder="1" applyAlignment="1">
      <alignment horizontal="left" vertical="center"/>
    </xf>
    <xf numFmtId="0" fontId="41" fillId="25" borderId="13" xfId="0" applyFont="1" applyFill="1" applyBorder="1" applyAlignment="1">
      <alignment horizontal="center" vertical="center"/>
    </xf>
    <xf numFmtId="0" fontId="36" fillId="26" borderId="13" xfId="0" applyFont="1" applyFill="1" applyBorder="1" applyAlignment="1">
      <alignment horizontal="left" vertical="center"/>
    </xf>
    <xf numFmtId="0" fontId="36" fillId="25" borderId="13" xfId="0" applyFont="1" applyFill="1" applyBorder="1" applyAlignment="1">
      <alignment horizontal="center" vertical="center"/>
    </xf>
    <xf numFmtId="2" fontId="39" fillId="26" borderId="13" xfId="0" applyNumberFormat="1" applyFont="1" applyFill="1" applyBorder="1" applyAlignment="1">
      <alignment horizontal="left" vertical="center"/>
    </xf>
    <xf numFmtId="0" fontId="39" fillId="24" borderId="1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top" wrapText="1"/>
    </xf>
    <xf numFmtId="0" fontId="39" fillId="24" borderId="13" xfId="0" applyFont="1" applyFill="1" applyBorder="1" applyAlignment="1">
      <alignment horizontal="left" vertical="center"/>
    </xf>
    <xf numFmtId="183" fontId="40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183" fontId="40" fillId="0" borderId="1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183" fontId="40" fillId="0" borderId="0" xfId="0" applyNumberFormat="1" applyFont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183" fontId="42" fillId="24" borderId="13" xfId="0" applyNumberFormat="1" applyFont="1" applyFill="1" applyBorder="1" applyAlignment="1">
      <alignment horizontal="center" vertical="center"/>
    </xf>
    <xf numFmtId="164" fontId="42" fillId="24" borderId="13" xfId="0" applyNumberFormat="1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0" fontId="47" fillId="24" borderId="13" xfId="0" applyFont="1" applyFill="1" applyBorder="1" applyAlignment="1">
      <alignment horizontal="center" vertical="center"/>
    </xf>
    <xf numFmtId="183" fontId="39" fillId="24" borderId="11" xfId="0" applyNumberFormat="1" applyFont="1" applyFill="1" applyBorder="1" applyAlignment="1">
      <alignment horizontal="center" vertical="top" wrapText="1"/>
    </xf>
    <xf numFmtId="0" fontId="39" fillId="24" borderId="15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/>
    </xf>
    <xf numFmtId="183" fontId="39" fillId="24" borderId="15" xfId="0" applyNumberFormat="1" applyFont="1" applyFill="1" applyBorder="1" applyAlignment="1">
      <alignment horizontal="center" vertical="top" wrapText="1"/>
    </xf>
    <xf numFmtId="164" fontId="39" fillId="24" borderId="15" xfId="0" applyNumberFormat="1" applyFont="1" applyFill="1" applyBorder="1" applyAlignment="1">
      <alignment horizontal="center" vertical="top" wrapText="1"/>
    </xf>
    <xf numFmtId="0" fontId="36" fillId="27" borderId="12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39" fillId="26" borderId="12" xfId="0" applyFont="1" applyFill="1" applyBorder="1" applyAlignment="1">
      <alignment horizontal="left" vertical="center"/>
    </xf>
    <xf numFmtId="0" fontId="39" fillId="26" borderId="14" xfId="0" applyFont="1" applyFill="1" applyBorder="1" applyAlignment="1">
      <alignment horizontal="left" vertical="center"/>
    </xf>
    <xf numFmtId="2" fontId="42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40" fillId="0" borderId="0" xfId="0" applyFont="1" applyBorder="1" applyAlignment="1">
      <alignment vertical="center"/>
    </xf>
    <xf numFmtId="2" fontId="39" fillId="26" borderId="12" xfId="0" applyNumberFormat="1" applyFont="1" applyFill="1" applyBorder="1" applyAlignment="1">
      <alignment horizontal="left" vertical="center"/>
    </xf>
    <xf numFmtId="2" fontId="39" fillId="26" borderId="17" xfId="0" applyNumberFormat="1" applyFont="1" applyFill="1" applyBorder="1" applyAlignment="1">
      <alignment horizontal="left" vertical="center"/>
    </xf>
    <xf numFmtId="0" fontId="36" fillId="25" borderId="18" xfId="0" applyFont="1" applyFill="1" applyBorder="1" applyAlignment="1">
      <alignment horizontal="left" vertical="center"/>
    </xf>
    <xf numFmtId="164" fontId="22" fillId="24" borderId="13" xfId="0" applyNumberFormat="1" applyFont="1" applyFill="1" applyBorder="1" applyAlignment="1">
      <alignment horizontal="center" vertical="top" wrapText="1"/>
    </xf>
    <xf numFmtId="164" fontId="39" fillId="24" borderId="13" xfId="0" applyNumberFormat="1" applyFont="1" applyFill="1" applyBorder="1" applyAlignment="1">
      <alignment horizontal="center" vertical="top" wrapText="1"/>
    </xf>
    <xf numFmtId="2" fontId="36" fillId="26" borderId="13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1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1" fontId="40" fillId="0" borderId="0" xfId="0" applyNumberFormat="1" applyFont="1" applyAlignment="1">
      <alignment horizontal="left" vertical="center"/>
    </xf>
    <xf numFmtId="2" fontId="36" fillId="26" borderId="14" xfId="0" applyNumberFormat="1" applyFont="1" applyFill="1" applyBorder="1" applyAlignment="1">
      <alignment vertical="center"/>
    </xf>
    <xf numFmtId="0" fontId="39" fillId="26" borderId="13" xfId="0" applyFont="1" applyFill="1" applyBorder="1" applyAlignment="1">
      <alignment horizontal="left" vertical="center"/>
    </xf>
    <xf numFmtId="0" fontId="39" fillId="24" borderId="15" xfId="0" applyFont="1" applyFill="1" applyBorder="1" applyAlignment="1">
      <alignment horizontal="center" vertical="top" wrapText="1"/>
    </xf>
    <xf numFmtId="0" fontId="39" fillId="26" borderId="13" xfId="0" applyFont="1" applyFill="1" applyBorder="1" applyAlignment="1">
      <alignment horizontal="center" vertical="top" wrapText="1"/>
    </xf>
    <xf numFmtId="1" fontId="39" fillId="24" borderId="13" xfId="0" applyNumberFormat="1" applyFont="1" applyFill="1" applyBorder="1" applyAlignment="1">
      <alignment horizontal="center" vertical="top" wrapText="1"/>
    </xf>
    <xf numFmtId="164" fontId="47" fillId="0" borderId="0" xfId="0" applyNumberFormat="1" applyFont="1" applyFill="1" applyAlignment="1">
      <alignment horizontal="center" vertical="center"/>
    </xf>
    <xf numFmtId="164" fontId="49" fillId="0" borderId="0" xfId="0" applyNumberFormat="1" applyFont="1" applyAlignment="1">
      <alignment vertical="center"/>
    </xf>
    <xf numFmtId="2" fontId="39" fillId="26" borderId="14" xfId="0" applyNumberFormat="1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2" fontId="22" fillId="26" borderId="12" xfId="0" applyNumberFormat="1" applyFont="1" applyFill="1" applyBorder="1" applyAlignment="1">
      <alignment horizontal="left" vertical="center"/>
    </xf>
    <xf numFmtId="0" fontId="25" fillId="26" borderId="13" xfId="0" applyFont="1" applyFill="1" applyBorder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left" vertical="center"/>
    </xf>
    <xf numFmtId="0" fontId="39" fillId="24" borderId="11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6" fillId="26" borderId="13" xfId="0" applyFont="1" applyFill="1" applyBorder="1" applyAlignment="1">
      <alignment vertical="center"/>
    </xf>
    <xf numFmtId="0" fontId="36" fillId="26" borderId="13" xfId="0" applyFont="1" applyFill="1" applyBorder="1" applyAlignment="1">
      <alignment horizontal="center" vertical="center"/>
    </xf>
    <xf numFmtId="1" fontId="36" fillId="26" borderId="13" xfId="0" applyNumberFormat="1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2" fontId="22" fillId="26" borderId="13" xfId="0" applyNumberFormat="1" applyFont="1" applyFill="1" applyBorder="1" applyAlignment="1">
      <alignment horizontal="left" vertical="center"/>
    </xf>
    <xf numFmtId="0" fontId="22" fillId="25" borderId="14" xfId="0" applyFont="1" applyFill="1" applyBorder="1" applyAlignment="1">
      <alignment horizontal="center" vertical="center"/>
    </xf>
    <xf numFmtId="2" fontId="22" fillId="26" borderId="14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left" vertical="center"/>
    </xf>
    <xf numFmtId="0" fontId="39" fillId="26" borderId="13" xfId="0" applyFont="1" applyFill="1" applyBorder="1" applyAlignment="1">
      <alignment vertical="center"/>
    </xf>
    <xf numFmtId="0" fontId="39" fillId="26" borderId="13" xfId="0" applyFont="1" applyFill="1" applyBorder="1" applyAlignment="1">
      <alignment horizontal="center" vertical="center"/>
    </xf>
    <xf numFmtId="0" fontId="39" fillId="26" borderId="13" xfId="0" applyNumberFormat="1" applyFont="1" applyFill="1" applyBorder="1" applyAlignment="1">
      <alignment horizontal="center" vertical="center"/>
    </xf>
    <xf numFmtId="2" fontId="39" fillId="26" borderId="13" xfId="0" applyNumberFormat="1" applyFont="1" applyFill="1" applyBorder="1" applyAlignment="1">
      <alignment horizontal="center" vertical="center"/>
    </xf>
    <xf numFmtId="164" fontId="39" fillId="26" borderId="13" xfId="0" applyNumberFormat="1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left" vertical="center"/>
    </xf>
    <xf numFmtId="1" fontId="39" fillId="26" borderId="13" xfId="0" applyNumberFormat="1" applyFont="1" applyFill="1" applyBorder="1" applyAlignment="1">
      <alignment horizontal="center" vertical="center"/>
    </xf>
    <xf numFmtId="183" fontId="39" fillId="24" borderId="13" xfId="0" applyNumberFormat="1" applyFont="1" applyFill="1" applyBorder="1" applyAlignment="1">
      <alignment horizontal="center" vertical="top" wrapText="1"/>
    </xf>
    <xf numFmtId="0" fontId="39" fillId="25" borderId="13" xfId="0" applyFont="1" applyFill="1" applyBorder="1" applyAlignment="1">
      <alignment horizontal="center" vertical="center"/>
    </xf>
    <xf numFmtId="183" fontId="39" fillId="26" borderId="13" xfId="0" applyNumberFormat="1" applyFont="1" applyFill="1" applyBorder="1" applyAlignment="1">
      <alignment horizontal="center" vertical="center"/>
    </xf>
    <xf numFmtId="2" fontId="36" fillId="26" borderId="13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22" fillId="26" borderId="0" xfId="0" applyFont="1" applyFill="1" applyAlignment="1">
      <alignment horizontal="left" vertical="center"/>
    </xf>
    <xf numFmtId="1" fontId="25" fillId="26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39" fillId="27" borderId="13" xfId="0" applyFont="1" applyFill="1" applyBorder="1" applyAlignment="1">
      <alignment horizontal="left" vertical="center"/>
    </xf>
    <xf numFmtId="0" fontId="39" fillId="24" borderId="1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6" fillId="24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4" borderId="13" xfId="0" applyNumberFormat="1" applyFont="1" applyFill="1" applyBorder="1" applyAlignment="1">
      <alignment horizontal="center" vertical="top" wrapText="1"/>
    </xf>
    <xf numFmtId="0" fontId="39" fillId="26" borderId="13" xfId="0" applyFont="1" applyFill="1" applyBorder="1" applyAlignment="1">
      <alignment horizontal="center" vertical="center" wrapText="1"/>
    </xf>
    <xf numFmtId="164" fontId="39" fillId="26" borderId="13" xfId="0" applyNumberFormat="1" applyFont="1" applyFill="1" applyBorder="1" applyAlignment="1">
      <alignment horizontal="right" vertical="top" wrapText="1"/>
    </xf>
    <xf numFmtId="164" fontId="40" fillId="0" borderId="13" xfId="0" applyNumberFormat="1" applyFont="1" applyFill="1" applyBorder="1" applyAlignment="1">
      <alignment horizontal="right" vertical="top" wrapText="1"/>
    </xf>
    <xf numFmtId="2" fontId="36" fillId="26" borderId="13" xfId="0" applyNumberFormat="1" applyFont="1" applyFill="1" applyBorder="1" applyAlignment="1">
      <alignment vertical="center"/>
    </xf>
    <xf numFmtId="164" fontId="40" fillId="0" borderId="13" xfId="0" applyNumberFormat="1" applyFont="1" applyFill="1" applyBorder="1" applyAlignment="1">
      <alignment horizontal="right" vertical="center"/>
    </xf>
    <xf numFmtId="164" fontId="39" fillId="26" borderId="13" xfId="0" applyNumberFormat="1" applyFont="1" applyFill="1" applyBorder="1" applyAlignment="1">
      <alignment horizontal="right" vertical="center"/>
    </xf>
    <xf numFmtId="164" fontId="36" fillId="26" borderId="13" xfId="0" applyNumberFormat="1" applyFont="1" applyFill="1" applyBorder="1" applyAlignment="1">
      <alignment horizontal="right" vertical="center"/>
    </xf>
    <xf numFmtId="164" fontId="40" fillId="0" borderId="13" xfId="0" applyNumberFormat="1" applyFont="1" applyBorder="1" applyAlignment="1">
      <alignment horizontal="right" vertical="center"/>
    </xf>
    <xf numFmtId="164" fontId="42" fillId="24" borderId="13" xfId="0" applyNumberFormat="1" applyFont="1" applyFill="1" applyBorder="1" applyAlignment="1">
      <alignment horizontal="right" vertical="center"/>
    </xf>
    <xf numFmtId="164" fontId="47" fillId="24" borderId="13" xfId="0" applyNumberFormat="1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right" vertical="center"/>
    </xf>
    <xf numFmtId="0" fontId="36" fillId="26" borderId="14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6" fillId="27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2" fillId="26" borderId="14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vertical="center"/>
    </xf>
    <xf numFmtId="2" fontId="36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164" fontId="40" fillId="24" borderId="13" xfId="0" applyNumberFormat="1" applyFont="1" applyFill="1" applyBorder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164" fontId="39" fillId="0" borderId="0" xfId="0" applyNumberFormat="1" applyFont="1" applyAlignment="1">
      <alignment vertical="center"/>
    </xf>
    <xf numFmtId="164" fontId="39" fillId="24" borderId="13" xfId="0" applyNumberFormat="1" applyFont="1" applyFill="1" applyBorder="1" applyAlignment="1">
      <alignment horizontal="right" vertical="center"/>
    </xf>
    <xf numFmtId="188" fontId="40" fillId="0" borderId="13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36" fillId="26" borderId="13" xfId="0" applyNumberFormat="1" applyFont="1" applyFill="1" applyBorder="1" applyAlignment="1">
      <alignment horizontal="center" vertical="center"/>
    </xf>
    <xf numFmtId="164" fontId="39" fillId="26" borderId="20" xfId="0" applyNumberFormat="1" applyFont="1" applyFill="1" applyBorder="1" applyAlignment="1">
      <alignment horizontal="right" vertical="center"/>
    </xf>
    <xf numFmtId="183" fontId="36" fillId="26" borderId="13" xfId="0" applyNumberFormat="1" applyFont="1" applyFill="1" applyBorder="1" applyAlignment="1">
      <alignment horizontal="center" vertical="center"/>
    </xf>
    <xf numFmtId="4" fontId="39" fillId="26" borderId="13" xfId="0" applyNumberFormat="1" applyFont="1" applyFill="1" applyBorder="1" applyAlignment="1">
      <alignment horizontal="center" vertical="center"/>
    </xf>
    <xf numFmtId="188" fontId="39" fillId="26" borderId="13" xfId="0" applyNumberFormat="1" applyFont="1" applyFill="1" applyBorder="1" applyAlignment="1">
      <alignment horizontal="right" vertical="center"/>
    </xf>
    <xf numFmtId="0" fontId="39" fillId="26" borderId="21" xfId="0" applyNumberFormat="1" applyFont="1" applyFill="1" applyBorder="1" applyAlignment="1">
      <alignment horizontal="center" vertical="center"/>
    </xf>
    <xf numFmtId="2" fontId="39" fillId="26" borderId="22" xfId="0" applyNumberFormat="1" applyFont="1" applyFill="1" applyBorder="1" applyAlignment="1">
      <alignment horizontal="center" vertical="center"/>
    </xf>
    <xf numFmtId="2" fontId="39" fillId="26" borderId="21" xfId="0" applyNumberFormat="1" applyFont="1" applyFill="1" applyBorder="1" applyAlignment="1">
      <alignment horizontal="center" vertical="center"/>
    </xf>
    <xf numFmtId="164" fontId="39" fillId="26" borderId="21" xfId="0" applyNumberFormat="1" applyFont="1" applyFill="1" applyBorder="1" applyAlignment="1">
      <alignment horizontal="right" vertical="center"/>
    </xf>
    <xf numFmtId="0" fontId="36" fillId="26" borderId="13" xfId="0" applyFont="1" applyFill="1" applyBorder="1" applyAlignment="1">
      <alignment horizontal="right" vertical="center"/>
    </xf>
    <xf numFmtId="0" fontId="36" fillId="26" borderId="13" xfId="0" applyNumberFormat="1" applyFont="1" applyFill="1" applyBorder="1" applyAlignment="1">
      <alignment horizontal="center" vertical="center"/>
    </xf>
    <xf numFmtId="164" fontId="25" fillId="26" borderId="13" xfId="0" applyNumberFormat="1" applyFont="1" applyFill="1" applyBorder="1" applyAlignment="1">
      <alignment horizontal="right" vertical="center"/>
    </xf>
    <xf numFmtId="0" fontId="22" fillId="26" borderId="13" xfId="0" applyNumberFormat="1" applyFont="1" applyFill="1" applyBorder="1" applyAlignment="1">
      <alignment horizontal="center" vertical="center"/>
    </xf>
    <xf numFmtId="4" fontId="22" fillId="26" borderId="13" xfId="0" applyNumberFormat="1" applyFont="1" applyFill="1" applyBorder="1" applyAlignment="1">
      <alignment horizontal="center" vertical="center"/>
    </xf>
    <xf numFmtId="164" fontId="22" fillId="26" borderId="13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2" fontId="22" fillId="26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26" borderId="13" xfId="0" applyFont="1" applyFill="1" applyBorder="1" applyAlignment="1">
      <alignment horizontal="center" vertical="center"/>
    </xf>
    <xf numFmtId="183" fontId="22" fillId="26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88" fontId="22" fillId="26" borderId="13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2" fillId="24" borderId="13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2" fillId="26" borderId="14" xfId="0" applyFont="1" applyFill="1" applyBorder="1" applyAlignment="1">
      <alignment horizontal="center" vertical="center"/>
    </xf>
    <xf numFmtId="164" fontId="22" fillId="26" borderId="20" xfId="0" applyNumberFormat="1" applyFont="1" applyFill="1" applyBorder="1" applyAlignment="1">
      <alignment horizontal="right" vertical="center"/>
    </xf>
    <xf numFmtId="2" fontId="22" fillId="0" borderId="0" xfId="0" applyNumberFormat="1" applyFont="1" applyAlignment="1">
      <alignment vertical="center"/>
    </xf>
    <xf numFmtId="0" fontId="22" fillId="26" borderId="13" xfId="0" applyFont="1" applyFill="1" applyBorder="1" applyAlignment="1">
      <alignment horizontal="center" vertical="top" wrapText="1"/>
    </xf>
    <xf numFmtId="4" fontId="22" fillId="26" borderId="13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0" fontId="39" fillId="26" borderId="13" xfId="0" applyNumberFormat="1" applyFont="1" applyFill="1" applyBorder="1" applyAlignment="1">
      <alignment horizontal="center" vertical="center" wrapText="1"/>
    </xf>
    <xf numFmtId="164" fontId="36" fillId="24" borderId="13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1" fontId="40" fillId="0" borderId="13" xfId="0" applyNumberFormat="1" applyFont="1" applyBorder="1" applyAlignment="1">
      <alignment horizontal="left" vertical="center"/>
    </xf>
    <xf numFmtId="4" fontId="25" fillId="26" borderId="13" xfId="0" applyNumberFormat="1" applyFont="1" applyFill="1" applyBorder="1" applyAlignment="1">
      <alignment horizontal="center" vertical="center"/>
    </xf>
    <xf numFmtId="2" fontId="39" fillId="26" borderId="18" xfId="0" applyNumberFormat="1" applyFont="1" applyFill="1" applyBorder="1" applyAlignment="1">
      <alignment horizontal="left" vertical="center"/>
    </xf>
    <xf numFmtId="2" fontId="39" fillId="24" borderId="16" xfId="0" applyNumberFormat="1" applyFont="1" applyFill="1" applyBorder="1" applyAlignment="1">
      <alignment vertical="center"/>
    </xf>
    <xf numFmtId="1" fontId="39" fillId="24" borderId="13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Alignment="1">
      <alignment vertical="center"/>
    </xf>
    <xf numFmtId="2" fontId="36" fillId="24" borderId="18" xfId="0" applyNumberFormat="1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/>
    </xf>
    <xf numFmtId="0" fontId="27" fillId="28" borderId="0" xfId="0" applyFont="1" applyFill="1" applyAlignment="1">
      <alignment vertical="center"/>
    </xf>
    <xf numFmtId="0" fontId="30" fillId="28" borderId="0" xfId="0" applyFont="1" applyFill="1" applyAlignment="1">
      <alignment horizontal="center" vertical="center"/>
    </xf>
    <xf numFmtId="0" fontId="30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2" fontId="42" fillId="0" borderId="0" xfId="0" applyNumberFormat="1" applyFont="1" applyFill="1" applyAlignment="1">
      <alignment vertical="center"/>
    </xf>
    <xf numFmtId="164" fontId="40" fillId="0" borderId="0" xfId="0" applyNumberFormat="1" applyFont="1" applyFill="1" applyAlignment="1">
      <alignment vertical="center"/>
    </xf>
    <xf numFmtId="2" fontId="40" fillId="0" borderId="0" xfId="0" applyNumberFormat="1" applyFont="1" applyFill="1" applyAlignment="1">
      <alignment vertical="center"/>
    </xf>
    <xf numFmtId="164" fontId="4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64" fontId="40" fillId="0" borderId="0" xfId="0" applyNumberFormat="1" applyFont="1" applyFill="1" applyBorder="1" applyAlignment="1">
      <alignment horizontal="right" vertical="center"/>
    </xf>
    <xf numFmtId="164" fontId="52" fillId="0" borderId="0" xfId="0" applyNumberFormat="1" applyFont="1" applyAlignment="1">
      <alignment vertical="center"/>
    </xf>
    <xf numFmtId="2" fontId="39" fillId="24" borderId="14" xfId="0" applyNumberFormat="1" applyFont="1" applyFill="1" applyBorder="1" applyAlignment="1">
      <alignment horizontal="center" vertical="center"/>
    </xf>
    <xf numFmtId="2" fontId="39" fillId="24" borderId="13" xfId="0" applyNumberFormat="1" applyFont="1" applyFill="1" applyBorder="1" applyAlignment="1">
      <alignment horizontal="center" vertical="center"/>
    </xf>
    <xf numFmtId="2" fontId="36" fillId="24" borderId="12" xfId="0" applyNumberFormat="1" applyFont="1" applyFill="1" applyBorder="1" applyAlignment="1">
      <alignment horizontal="left" vertical="center"/>
    </xf>
    <xf numFmtId="4" fontId="4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4" fontId="22" fillId="29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2" fillId="0" borderId="13" xfId="0" applyFont="1" applyFill="1" applyBorder="1" applyAlignment="1">
      <alignment horizontal="center" vertical="top" wrapText="1"/>
    </xf>
    <xf numFmtId="2" fontId="2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4" fontId="2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2" fontId="36" fillId="26" borderId="16" xfId="0" applyNumberFormat="1" applyFont="1" applyFill="1" applyBorder="1" applyAlignment="1">
      <alignment vertical="center"/>
    </xf>
    <xf numFmtId="0" fontId="53" fillId="0" borderId="12" xfId="0" applyFont="1" applyBorder="1" applyAlignment="1">
      <alignment horizontal="left" vertical="center"/>
    </xf>
    <xf numFmtId="164" fontId="51" fillId="0" borderId="0" xfId="0" applyNumberFormat="1" applyFont="1" applyFill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40" fillId="0" borderId="13" xfId="46" applyFont="1" applyFill="1" applyBorder="1" applyAlignment="1">
      <alignment horizontal="right" vertical="center"/>
    </xf>
    <xf numFmtId="0" fontId="47" fillId="24" borderId="0" xfId="0" applyFont="1" applyFill="1" applyAlignment="1">
      <alignment horizontal="center" vertical="center"/>
    </xf>
    <xf numFmtId="0" fontId="40" fillId="0" borderId="0" xfId="0" applyNumberFormat="1" applyFont="1" applyBorder="1" applyAlignment="1">
      <alignment horizontal="left" vertical="center"/>
    </xf>
    <xf numFmtId="164" fontId="26" fillId="0" borderId="0" xfId="0" applyNumberFormat="1" applyFont="1" applyFill="1" applyAlignment="1">
      <alignment horizontal="center" vertical="center" wrapText="1"/>
    </xf>
    <xf numFmtId="2" fontId="22" fillId="26" borderId="18" xfId="0" applyNumberFormat="1" applyFont="1" applyFill="1" applyBorder="1" applyAlignment="1">
      <alignment horizontal="left" vertical="center"/>
    </xf>
    <xf numFmtId="0" fontId="22" fillId="26" borderId="15" xfId="0" applyNumberFormat="1" applyFont="1" applyFill="1" applyBorder="1" applyAlignment="1">
      <alignment horizontal="center" vertical="center"/>
    </xf>
    <xf numFmtId="2" fontId="22" fillId="26" borderId="16" xfId="0" applyNumberFormat="1" applyFont="1" applyFill="1" applyBorder="1" applyAlignment="1">
      <alignment horizontal="center" vertical="center"/>
    </xf>
    <xf numFmtId="4" fontId="22" fillId="26" borderId="15" xfId="0" applyNumberFormat="1" applyFont="1" applyFill="1" applyBorder="1" applyAlignment="1">
      <alignment horizontal="center" vertical="center"/>
    </xf>
    <xf numFmtId="188" fontId="22" fillId="26" borderId="15" xfId="0" applyNumberFormat="1" applyFont="1" applyFill="1" applyBorder="1" applyAlignment="1">
      <alignment horizontal="right" vertical="center"/>
    </xf>
    <xf numFmtId="164" fontId="22" fillId="26" borderId="15" xfId="0" applyNumberFormat="1" applyFont="1" applyFill="1" applyBorder="1" applyAlignment="1">
      <alignment horizontal="right" vertical="center"/>
    </xf>
    <xf numFmtId="164" fontId="22" fillId="26" borderId="23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164" fontId="40" fillId="0" borderId="0" xfId="0" applyNumberFormat="1" applyFont="1" applyFill="1" applyBorder="1" applyAlignment="1">
      <alignment vertical="center"/>
    </xf>
    <xf numFmtId="1" fontId="40" fillId="24" borderId="13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/>
    </xf>
    <xf numFmtId="164" fontId="39" fillId="24" borderId="13" xfId="0" applyNumberFormat="1" applyFont="1" applyFill="1" applyBorder="1" applyAlignment="1">
      <alignment horizontal="center" vertical="center" wrapText="1"/>
    </xf>
    <xf numFmtId="164" fontId="36" fillId="26" borderId="13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36" fillId="27" borderId="13" xfId="0" applyFont="1" applyFill="1" applyBorder="1" applyAlignment="1">
      <alignment horizontal="left" vertical="center"/>
    </xf>
    <xf numFmtId="0" fontId="36" fillId="27" borderId="13" xfId="0" applyFont="1" applyFill="1" applyBorder="1" applyAlignment="1">
      <alignment horizontal="center" vertical="center"/>
    </xf>
    <xf numFmtId="164" fontId="42" fillId="0" borderId="13" xfId="0" applyNumberFormat="1" applyFont="1" applyBorder="1" applyAlignment="1">
      <alignment horizontal="right" vertical="center"/>
    </xf>
    <xf numFmtId="2" fontId="39" fillId="26" borderId="14" xfId="0" applyNumberFormat="1" applyFont="1" applyFill="1" applyBorder="1" applyAlignment="1">
      <alignment vertical="center"/>
    </xf>
    <xf numFmtId="2" fontId="39" fillId="26" borderId="16" xfId="0" applyNumberFormat="1" applyFont="1" applyFill="1" applyBorder="1" applyAlignment="1">
      <alignment vertical="center"/>
    </xf>
    <xf numFmtId="2" fontId="39" fillId="26" borderId="22" xfId="0" applyNumberFormat="1" applyFont="1" applyFill="1" applyBorder="1" applyAlignment="1">
      <alignment vertical="center"/>
    </xf>
    <xf numFmtId="0" fontId="42" fillId="0" borderId="2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4" fontId="39" fillId="26" borderId="13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39" fillId="0" borderId="13" xfId="0" applyFont="1" applyBorder="1" applyAlignment="1">
      <alignment vertical="top" wrapText="1"/>
    </xf>
    <xf numFmtId="164" fontId="40" fillId="0" borderId="13" xfId="44" applyNumberFormat="1" applyFont="1" applyBorder="1" applyAlignment="1">
      <alignment horizontal="right" vertical="center"/>
    </xf>
    <xf numFmtId="7" fontId="40" fillId="0" borderId="13" xfId="44" applyNumberFormat="1" applyFont="1" applyBorder="1" applyAlignment="1">
      <alignment horizontal="right" vertical="center"/>
    </xf>
    <xf numFmtId="164" fontId="40" fillId="0" borderId="0" xfId="0" applyNumberFormat="1" applyFont="1" applyAlignment="1">
      <alignment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center" vertical="top" wrapText="1"/>
    </xf>
    <xf numFmtId="164" fontId="40" fillId="26" borderId="13" xfId="44" applyNumberFormat="1" applyFont="1" applyFill="1" applyBorder="1" applyAlignment="1">
      <alignment horizontal="right" vertical="center"/>
    </xf>
    <xf numFmtId="7" fontId="36" fillId="26" borderId="13" xfId="44" applyNumberFormat="1" applyFont="1" applyFill="1" applyBorder="1" applyAlignment="1">
      <alignment horizontal="right" vertical="center"/>
    </xf>
    <xf numFmtId="164" fontId="40" fillId="0" borderId="0" xfId="0" applyNumberFormat="1" applyFont="1" applyAlignment="1">
      <alignment horizontal="right"/>
    </xf>
    <xf numFmtId="0" fontId="39" fillId="0" borderId="13" xfId="0" applyFont="1" applyFill="1" applyBorder="1" applyAlignment="1">
      <alignment horizontal="left" vertical="center"/>
    </xf>
    <xf numFmtId="0" fontId="36" fillId="26" borderId="13" xfId="0" applyFont="1" applyFill="1" applyBorder="1" applyAlignment="1">
      <alignment/>
    </xf>
    <xf numFmtId="0" fontId="39" fillId="26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/>
    </xf>
    <xf numFmtId="0" fontId="40" fillId="0" borderId="0" xfId="0" applyFont="1" applyAlignment="1">
      <alignment/>
    </xf>
    <xf numFmtId="0" fontId="39" fillId="24" borderId="13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left"/>
    </xf>
    <xf numFmtId="0" fontId="40" fillId="26" borderId="13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6" fillId="26" borderId="13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/>
    </xf>
    <xf numFmtId="0" fontId="39" fillId="24" borderId="13" xfId="0" applyNumberFormat="1" applyFont="1" applyFill="1" applyBorder="1" applyAlignment="1">
      <alignment horizontal="center" vertical="top" wrapText="1"/>
    </xf>
    <xf numFmtId="0" fontId="39" fillId="24" borderId="13" xfId="0" applyFont="1" applyFill="1" applyBorder="1" applyAlignment="1">
      <alignment horizontal="center" vertical="top" wrapText="1"/>
    </xf>
    <xf numFmtId="0" fontId="36" fillId="25" borderId="18" xfId="0" applyFont="1" applyFill="1" applyBorder="1" applyAlignment="1">
      <alignment horizontal="left" vertical="center"/>
    </xf>
    <xf numFmtId="0" fontId="36" fillId="25" borderId="16" xfId="0" applyFont="1" applyFill="1" applyBorder="1" applyAlignment="1">
      <alignment horizontal="center" vertical="center"/>
    </xf>
    <xf numFmtId="0" fontId="39" fillId="24" borderId="15" xfId="0" applyNumberFormat="1" applyFont="1" applyFill="1" applyBorder="1" applyAlignment="1">
      <alignment horizontal="center" vertical="top" wrapText="1"/>
    </xf>
    <xf numFmtId="0" fontId="39" fillId="24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justify" wrapText="1"/>
    </xf>
    <xf numFmtId="0" fontId="36" fillId="25" borderId="12" xfId="0" applyFont="1" applyFill="1" applyBorder="1" applyAlignment="1">
      <alignment horizontal="left" vertical="center"/>
    </xf>
    <xf numFmtId="0" fontId="36" fillId="25" borderId="14" xfId="0" applyFont="1" applyFill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center" vertical="top" wrapText="1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6" fillId="25" borderId="1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2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>
      <alignment horizontal="left" vertical="center" wrapText="1"/>
    </xf>
    <xf numFmtId="0" fontId="36" fillId="26" borderId="13" xfId="0" applyFont="1" applyFill="1" applyBorder="1" applyAlignment="1">
      <alignment horizontal="center" vertical="center"/>
    </xf>
    <xf numFmtId="0" fontId="36" fillId="26" borderId="13" xfId="0" applyNumberFormat="1" applyFont="1" applyFill="1" applyBorder="1" applyAlignment="1">
      <alignment horizontal="center" vertical="center" wrapText="1"/>
    </xf>
    <xf numFmtId="0" fontId="36" fillId="26" borderId="13" xfId="0" applyNumberFormat="1" applyFont="1" applyFill="1" applyBorder="1" applyAlignment="1">
      <alignment horizontal="center" vertical="top" wrapText="1"/>
    </xf>
    <xf numFmtId="0" fontId="36" fillId="26" borderId="13" xfId="0" applyFont="1" applyFill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left" vertical="center"/>
    </xf>
    <xf numFmtId="0" fontId="43" fillId="26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4" fontId="39" fillId="0" borderId="13" xfId="0" applyNumberFormat="1" applyFont="1" applyFill="1" applyBorder="1" applyAlignment="1">
      <alignment horizontal="center" vertical="center"/>
    </xf>
    <xf numFmtId="188" fontId="39" fillId="0" borderId="13" xfId="0" applyNumberFormat="1" applyFont="1" applyFill="1" applyBorder="1" applyAlignment="1">
      <alignment horizontal="right" vertical="center"/>
    </xf>
    <xf numFmtId="164" fontId="39" fillId="0" borderId="13" xfId="0" applyNumberFormat="1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left" vertical="center"/>
    </xf>
    <xf numFmtId="164" fontId="39" fillId="0" borderId="13" xfId="0" applyNumberFormat="1" applyFont="1" applyFill="1" applyBorder="1" applyAlignment="1">
      <alignment horizontal="right" vertical="top" wrapText="1"/>
    </xf>
    <xf numFmtId="164" fontId="39" fillId="24" borderId="13" xfId="0" applyNumberFormat="1" applyFont="1" applyFill="1" applyBorder="1" applyAlignment="1">
      <alignment horizontal="right" vertical="top" wrapText="1"/>
    </xf>
    <xf numFmtId="1" fontId="39" fillId="0" borderId="13" xfId="0" applyNumberFormat="1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top"/>
    </xf>
    <xf numFmtId="1" fontId="39" fillId="0" borderId="13" xfId="0" applyNumberFormat="1" applyFont="1" applyFill="1" applyBorder="1" applyAlignment="1">
      <alignment horizontal="center" vertical="top" wrapText="1"/>
    </xf>
    <xf numFmtId="1" fontId="39" fillId="0" borderId="13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right" vertical="center"/>
    </xf>
    <xf numFmtId="1" fontId="39" fillId="0" borderId="21" xfId="0" applyNumberFormat="1" applyFont="1" applyBorder="1" applyAlignment="1">
      <alignment horizontal="center" vertical="center"/>
    </xf>
    <xf numFmtId="164" fontId="39" fillId="0" borderId="21" xfId="0" applyNumberFormat="1" applyFont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 horizontal="left" vertical="center" wrapText="1"/>
    </xf>
    <xf numFmtId="164" fontId="39" fillId="24" borderId="13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top" wrapText="1"/>
    </xf>
    <xf numFmtId="183" fontId="39" fillId="24" borderId="13" xfId="0" applyNumberFormat="1" applyFont="1" applyFill="1" applyBorder="1" applyAlignment="1">
      <alignment horizontal="center" vertical="center"/>
    </xf>
    <xf numFmtId="4" fontId="39" fillId="24" borderId="13" xfId="0" applyNumberFormat="1" applyFont="1" applyFill="1" applyBorder="1" applyAlignment="1">
      <alignment horizontal="center" vertical="top" wrapText="1"/>
    </xf>
    <xf numFmtId="188" fontId="39" fillId="24" borderId="13" xfId="0" applyNumberFormat="1" applyFont="1" applyFill="1" applyBorder="1" applyAlignment="1">
      <alignment horizontal="right" vertical="center"/>
    </xf>
    <xf numFmtId="0" fontId="39" fillId="24" borderId="13" xfId="0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center" vertical="top" wrapText="1"/>
    </xf>
    <xf numFmtId="183" fontId="36" fillId="24" borderId="15" xfId="0" applyNumberFormat="1" applyFont="1" applyFill="1" applyBorder="1" applyAlignment="1">
      <alignment horizontal="center" vertical="center"/>
    </xf>
    <xf numFmtId="164" fontId="36" fillId="24" borderId="15" xfId="0" applyNumberFormat="1" applyFont="1" applyFill="1" applyBorder="1" applyAlignment="1">
      <alignment horizontal="right" vertical="center"/>
    </xf>
    <xf numFmtId="164" fontId="36" fillId="24" borderId="23" xfId="0" applyNumberFormat="1" applyFont="1" applyFill="1" applyBorder="1" applyAlignment="1">
      <alignment horizontal="right" vertical="center"/>
    </xf>
    <xf numFmtId="0" fontId="51" fillId="24" borderId="15" xfId="0" applyFont="1" applyFill="1" applyBorder="1" applyAlignment="1">
      <alignment horizontal="right" vertical="center"/>
    </xf>
    <xf numFmtId="164" fontId="39" fillId="0" borderId="20" xfId="0" applyNumberFormat="1" applyFont="1" applyFill="1" applyBorder="1" applyAlignment="1">
      <alignment horizontal="right" vertical="center"/>
    </xf>
    <xf numFmtId="188" fontId="36" fillId="24" borderId="13" xfId="0" applyNumberFormat="1" applyFont="1" applyFill="1" applyBorder="1" applyAlignment="1">
      <alignment horizontal="right" vertical="center"/>
    </xf>
    <xf numFmtId="164" fontId="36" fillId="24" borderId="20" xfId="0" applyNumberFormat="1" applyFont="1" applyFill="1" applyBorder="1" applyAlignment="1">
      <alignment horizontal="right" vertical="center"/>
    </xf>
    <xf numFmtId="183" fontId="39" fillId="0" borderId="13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/>
    </xf>
    <xf numFmtId="183" fontId="36" fillId="24" borderId="13" xfId="0" applyNumberFormat="1" applyFont="1" applyFill="1" applyBorder="1" applyAlignment="1">
      <alignment horizontal="center" vertical="center"/>
    </xf>
    <xf numFmtId="164" fontId="36" fillId="24" borderId="13" xfId="0" applyNumberFormat="1" applyFont="1" applyFill="1" applyBorder="1" applyAlignment="1">
      <alignment horizontal="center" vertical="center"/>
    </xf>
    <xf numFmtId="164" fontId="36" fillId="24" borderId="20" xfId="0" applyNumberFormat="1" applyFont="1" applyFill="1" applyBorder="1" applyAlignment="1">
      <alignment horizontal="center" vertical="center"/>
    </xf>
    <xf numFmtId="188" fontId="36" fillId="0" borderId="13" xfId="0" applyNumberFormat="1" applyFont="1" applyFill="1" applyBorder="1" applyAlignment="1">
      <alignment horizontal="right" vertical="center"/>
    </xf>
    <xf numFmtId="164" fontId="36" fillId="0" borderId="13" xfId="0" applyNumberFormat="1" applyFont="1" applyFill="1" applyBorder="1" applyAlignment="1">
      <alignment horizontal="right" vertical="center"/>
    </xf>
    <xf numFmtId="164" fontId="36" fillId="0" borderId="20" xfId="0" applyNumberFormat="1" applyFont="1" applyFill="1" applyBorder="1" applyAlignment="1">
      <alignment horizontal="right" vertical="center"/>
    </xf>
    <xf numFmtId="185" fontId="39" fillId="0" borderId="13" xfId="0" applyNumberFormat="1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 vertical="center"/>
    </xf>
    <xf numFmtId="4" fontId="39" fillId="0" borderId="21" xfId="0" applyNumberFormat="1" applyFont="1" applyFill="1" applyBorder="1" applyAlignment="1">
      <alignment horizontal="center" vertical="top" wrapText="1"/>
    </xf>
    <xf numFmtId="188" fontId="39" fillId="0" borderId="21" xfId="0" applyNumberFormat="1" applyFont="1" applyFill="1" applyBorder="1" applyAlignment="1">
      <alignment horizontal="right" vertical="center"/>
    </xf>
    <xf numFmtId="164" fontId="39" fillId="0" borderId="26" xfId="0" applyNumberFormat="1" applyFont="1" applyFill="1" applyBorder="1" applyAlignment="1">
      <alignment horizontal="right" vertical="center"/>
    </xf>
    <xf numFmtId="0" fontId="51" fillId="24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183" fontId="36" fillId="0" borderId="13" xfId="0" applyNumberFormat="1" applyFont="1" applyFill="1" applyBorder="1" applyAlignment="1">
      <alignment horizontal="center" vertical="center"/>
    </xf>
    <xf numFmtId="164" fontId="36" fillId="0" borderId="13" xfId="0" applyNumberFormat="1" applyFont="1" applyFill="1" applyBorder="1" applyAlignment="1">
      <alignment horizontal="center" vertical="center"/>
    </xf>
    <xf numFmtId="164" fontId="36" fillId="0" borderId="20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top" wrapText="1"/>
    </xf>
    <xf numFmtId="2" fontId="39" fillId="24" borderId="13" xfId="0" applyNumberFormat="1" applyFont="1" applyFill="1" applyBorder="1" applyAlignment="1">
      <alignment horizontal="center" vertical="top" wrapText="1"/>
    </xf>
    <xf numFmtId="2" fontId="36" fillId="24" borderId="13" xfId="0" applyNumberFormat="1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4" fontId="39" fillId="0" borderId="15" xfId="0" applyNumberFormat="1" applyFont="1" applyFill="1" applyBorder="1" applyAlignment="1">
      <alignment horizontal="center" vertical="center"/>
    </xf>
    <xf numFmtId="188" fontId="39" fillId="0" borderId="15" xfId="0" applyNumberFormat="1" applyFont="1" applyFill="1" applyBorder="1" applyAlignment="1">
      <alignment horizontal="right" vertical="center"/>
    </xf>
    <xf numFmtId="164" fontId="39" fillId="0" borderId="15" xfId="0" applyNumberFormat="1" applyFont="1" applyFill="1" applyBorder="1" applyAlignment="1">
      <alignment horizontal="right" vertical="center"/>
    </xf>
    <xf numFmtId="164" fontId="39" fillId="0" borderId="23" xfId="0" applyNumberFormat="1" applyFont="1" applyFill="1" applyBorder="1" applyAlignment="1">
      <alignment horizontal="right" vertical="center"/>
    </xf>
    <xf numFmtId="4" fontId="39" fillId="0" borderId="21" xfId="0" applyNumberFormat="1" applyFont="1" applyFill="1" applyBorder="1" applyAlignment="1">
      <alignment horizontal="center" vertical="center"/>
    </xf>
    <xf numFmtId="164" fontId="39" fillId="24" borderId="15" xfId="0" applyNumberFormat="1" applyFont="1" applyFill="1" applyBorder="1" applyAlignment="1">
      <alignment horizontal="right" vertical="center"/>
    </xf>
    <xf numFmtId="2" fontId="39" fillId="0" borderId="14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0" fontId="36" fillId="24" borderId="20" xfId="0" applyNumberFormat="1" applyFont="1" applyFill="1" applyBorder="1" applyAlignment="1">
      <alignment horizontal="center" vertical="center"/>
    </xf>
    <xf numFmtId="0" fontId="39" fillId="0" borderId="26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164" fontId="39" fillId="26" borderId="13" xfId="0" applyNumberFormat="1" applyFont="1" applyFill="1" applyBorder="1" applyAlignment="1">
      <alignment horizontal="right" vertical="center"/>
    </xf>
    <xf numFmtId="2" fontId="36" fillId="26" borderId="13" xfId="0" applyNumberFormat="1" applyFont="1" applyFill="1" applyBorder="1" applyAlignment="1">
      <alignment horizontal="left" vertical="center"/>
    </xf>
    <xf numFmtId="164" fontId="36" fillId="26" borderId="13" xfId="0" applyNumberFormat="1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center" vertical="top" wrapText="1"/>
    </xf>
    <xf numFmtId="164" fontId="39" fillId="0" borderId="15" xfId="0" applyNumberFormat="1" applyFont="1" applyFill="1" applyBorder="1" applyAlignment="1">
      <alignment horizontal="center" vertical="top" wrapText="1"/>
    </xf>
    <xf numFmtId="164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24" borderId="13" xfId="0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6" fillId="24" borderId="13" xfId="0" applyFont="1" applyFill="1" applyBorder="1" applyAlignment="1">
      <alignment horizontal="right" vertical="center"/>
    </xf>
    <xf numFmtId="164" fontId="39" fillId="0" borderId="0" xfId="0" applyNumberFormat="1" applyFont="1" applyFill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64" fontId="39" fillId="0" borderId="0" xfId="0" applyNumberFormat="1" applyFont="1" applyAlignment="1">
      <alignment horizontal="center" vertical="center"/>
    </xf>
    <xf numFmtId="164" fontId="22" fillId="24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Fill="1" applyBorder="1" applyAlignment="1">
      <alignment horizontal="right" vertical="center"/>
    </xf>
    <xf numFmtId="4" fontId="22" fillId="24" borderId="13" xfId="0" applyNumberFormat="1" applyFont="1" applyFill="1" applyBorder="1" applyAlignment="1">
      <alignment horizontal="center" vertical="top" wrapText="1"/>
    </xf>
    <xf numFmtId="164" fontId="22" fillId="24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164" fontId="22" fillId="0" borderId="27" xfId="0" applyNumberFormat="1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left" vertical="center"/>
    </xf>
    <xf numFmtId="188" fontId="22" fillId="0" borderId="13" xfId="0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left" vertical="center"/>
    </xf>
    <xf numFmtId="1" fontId="58" fillId="0" borderId="13" xfId="0" applyNumberFormat="1" applyFont="1" applyFill="1" applyBorder="1" applyAlignment="1">
      <alignment horizontal="center" vertical="center"/>
    </xf>
    <xf numFmtId="2" fontId="58" fillId="0" borderId="14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164" fontId="58" fillId="0" borderId="13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top" wrapText="1"/>
    </xf>
    <xf numFmtId="164" fontId="22" fillId="0" borderId="15" xfId="0" applyNumberFormat="1" applyFont="1" applyFill="1" applyBorder="1" applyAlignment="1">
      <alignment horizontal="right" vertical="center"/>
    </xf>
    <xf numFmtId="0" fontId="25" fillId="25" borderId="13" xfId="0" applyFont="1" applyFill="1" applyBorder="1" applyAlignment="1">
      <alignment horizontal="left" vertical="center"/>
    </xf>
    <xf numFmtId="0" fontId="22" fillId="25" borderId="13" xfId="0" applyFont="1" applyFill="1" applyBorder="1" applyAlignment="1">
      <alignment horizontal="center" vertical="center"/>
    </xf>
    <xf numFmtId="0" fontId="36" fillId="26" borderId="13" xfId="0" applyFont="1" applyFill="1" applyBorder="1" applyAlignment="1">
      <alignment horizontal="left" vertical="center"/>
    </xf>
    <xf numFmtId="164" fontId="22" fillId="0" borderId="21" xfId="0" applyNumberFormat="1" applyFont="1" applyFill="1" applyBorder="1" applyAlignment="1">
      <alignment horizontal="right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right" vertical="center"/>
    </xf>
    <xf numFmtId="164" fontId="39" fillId="0" borderId="21" xfId="0" applyNumberFormat="1" applyFont="1" applyFill="1" applyBorder="1" applyAlignment="1">
      <alignment horizontal="right" vertical="center"/>
    </xf>
    <xf numFmtId="1" fontId="36" fillId="26" borderId="13" xfId="0" applyNumberFormat="1" applyFont="1" applyFill="1" applyBorder="1" applyAlignment="1">
      <alignment horizontal="center" vertical="center"/>
    </xf>
    <xf numFmtId="2" fontId="36" fillId="26" borderId="13" xfId="0" applyNumberFormat="1" applyFont="1" applyFill="1" applyBorder="1" applyAlignment="1">
      <alignment horizontal="center" vertical="center"/>
    </xf>
    <xf numFmtId="2" fontId="39" fillId="26" borderId="13" xfId="0" applyNumberFormat="1" applyFont="1" applyFill="1" applyBorder="1" applyAlignment="1">
      <alignment horizontal="left" vertical="center"/>
    </xf>
    <xf numFmtId="1" fontId="39" fillId="26" borderId="13" xfId="0" applyNumberFormat="1" applyFont="1" applyFill="1" applyBorder="1" applyAlignment="1">
      <alignment horizontal="center" vertical="center"/>
    </xf>
    <xf numFmtId="2" fontId="39" fillId="26" borderId="1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2" fontId="36" fillId="0" borderId="0" xfId="0" applyNumberFormat="1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183" fontId="22" fillId="24" borderId="13" xfId="0" applyNumberFormat="1" applyFont="1" applyFill="1" applyBorder="1" applyAlignment="1">
      <alignment horizontal="center" vertical="top" wrapText="1"/>
    </xf>
    <xf numFmtId="164" fontId="22" fillId="24" borderId="13" xfId="0" applyNumberFormat="1" applyFont="1" applyFill="1" applyBorder="1" applyAlignment="1">
      <alignment horizontal="right" vertical="top" wrapText="1"/>
    </xf>
    <xf numFmtId="183" fontId="22" fillId="24" borderId="13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right" vertical="center"/>
    </xf>
    <xf numFmtId="188" fontId="22" fillId="24" borderId="13" xfId="0" applyNumberFormat="1" applyFont="1" applyFill="1" applyBorder="1" applyAlignment="1">
      <alignment horizontal="right" vertical="center"/>
    </xf>
    <xf numFmtId="164" fontId="22" fillId="24" borderId="20" xfId="0" applyNumberFormat="1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vertical="center"/>
    </xf>
    <xf numFmtId="164" fontId="54" fillId="0" borderId="28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top" wrapText="1"/>
    </xf>
    <xf numFmtId="4" fontId="22" fillId="0" borderId="21" xfId="0" applyNumberFormat="1" applyFont="1" applyFill="1" applyBorder="1" applyAlignment="1">
      <alignment horizontal="center" vertical="top" wrapText="1"/>
    </xf>
    <xf numFmtId="188" fontId="22" fillId="0" borderId="21" xfId="0" applyNumberFormat="1" applyFont="1" applyFill="1" applyBorder="1" applyAlignment="1">
      <alignment horizontal="right" vertical="center"/>
    </xf>
    <xf numFmtId="164" fontId="22" fillId="0" borderId="2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36" fillId="25" borderId="13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4" fontId="39" fillId="0" borderId="13" xfId="0" applyNumberFormat="1" applyFont="1" applyBorder="1" applyAlignment="1">
      <alignment horizontal="center" vertical="center"/>
    </xf>
    <xf numFmtId="0" fontId="39" fillId="25" borderId="13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top" wrapText="1"/>
    </xf>
    <xf numFmtId="0" fontId="39" fillId="0" borderId="13" xfId="0" applyNumberFormat="1" applyFont="1" applyBorder="1" applyAlignment="1">
      <alignment horizontal="center" vertical="center"/>
    </xf>
    <xf numFmtId="17" fontId="39" fillId="0" borderId="13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60" fillId="0" borderId="13" xfId="50" applyFont="1" applyFill="1" applyBorder="1" applyAlignment="1">
      <alignment horizontal="center"/>
      <protection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/>
    </xf>
    <xf numFmtId="164" fontId="39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left" vertical="center"/>
    </xf>
    <xf numFmtId="0" fontId="39" fillId="30" borderId="12" xfId="0" applyFont="1" applyFill="1" applyBorder="1" applyAlignment="1">
      <alignment horizontal="left" vertical="center" wrapText="1"/>
    </xf>
    <xf numFmtId="0" fontId="39" fillId="30" borderId="12" xfId="0" applyFont="1" applyFill="1" applyBorder="1" applyAlignment="1">
      <alignment horizontal="left" vertical="center"/>
    </xf>
    <xf numFmtId="0" fontId="40" fillId="30" borderId="13" xfId="0" applyFont="1" applyFill="1" applyBorder="1" applyAlignment="1">
      <alignment horizontal="left" vertical="center"/>
    </xf>
    <xf numFmtId="0" fontId="22" fillId="30" borderId="18" xfId="0" applyFont="1" applyFill="1" applyBorder="1" applyAlignment="1">
      <alignment horizontal="left" vertical="center"/>
    </xf>
    <xf numFmtId="0" fontId="39" fillId="30" borderId="12" xfId="0" applyFont="1" applyFill="1" applyBorder="1" applyAlignment="1">
      <alignment horizontal="left" vertical="center"/>
    </xf>
    <xf numFmtId="0" fontId="39" fillId="30" borderId="13" xfId="0" applyFont="1" applyFill="1" applyBorder="1" applyAlignment="1">
      <alignment horizontal="left" vertical="center"/>
    </xf>
    <xf numFmtId="0" fontId="22" fillId="30" borderId="12" xfId="0" applyFont="1" applyFill="1" applyBorder="1" applyAlignment="1">
      <alignment horizontal="left" vertical="center"/>
    </xf>
    <xf numFmtId="2" fontId="36" fillId="24" borderId="14" xfId="0" applyNumberFormat="1" applyFont="1" applyFill="1" applyBorder="1" applyAlignment="1">
      <alignment vertical="center"/>
    </xf>
    <xf numFmtId="2" fontId="39" fillId="24" borderId="0" xfId="0" applyNumberFormat="1" applyFont="1" applyFill="1" applyBorder="1" applyAlignment="1">
      <alignment horizontal="center" vertical="center"/>
    </xf>
    <xf numFmtId="0" fontId="39" fillId="30" borderId="14" xfId="0" applyFont="1" applyFill="1" applyBorder="1" applyAlignment="1">
      <alignment horizontal="left" vertical="center"/>
    </xf>
    <xf numFmtId="0" fontId="39" fillId="30" borderId="17" xfId="0" applyFont="1" applyFill="1" applyBorder="1" applyAlignment="1">
      <alignment horizontal="left" vertical="center"/>
    </xf>
    <xf numFmtId="0" fontId="39" fillId="30" borderId="14" xfId="0" applyFont="1" applyFill="1" applyBorder="1" applyAlignment="1">
      <alignment horizontal="center" vertical="center"/>
    </xf>
    <xf numFmtId="0" fontId="39" fillId="30" borderId="12" xfId="0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164" fontId="39" fillId="26" borderId="13" xfId="0" applyNumberFormat="1" applyFont="1" applyFill="1" applyBorder="1" applyAlignment="1">
      <alignment horizontal="center" vertical="center" wrapText="1"/>
    </xf>
    <xf numFmtId="164" fontId="36" fillId="26" borderId="13" xfId="0" applyNumberFormat="1" applyFont="1" applyFill="1" applyBorder="1" applyAlignment="1">
      <alignment/>
    </xf>
    <xf numFmtId="0" fontId="37" fillId="0" borderId="2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26" borderId="13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>
      <alignment/>
    </xf>
    <xf numFmtId="0" fontId="37" fillId="0" borderId="13" xfId="0" applyFont="1" applyBorder="1" applyAlignment="1">
      <alignment horizontal="left"/>
    </xf>
    <xf numFmtId="0" fontId="39" fillId="26" borderId="13" xfId="0" applyFont="1" applyFill="1" applyBorder="1" applyAlignment="1">
      <alignment horizontal="center" wrapText="1"/>
    </xf>
    <xf numFmtId="0" fontId="44" fillId="26" borderId="30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/>
    </xf>
    <xf numFmtId="0" fontId="36" fillId="26" borderId="13" xfId="0" applyFont="1" applyFill="1" applyBorder="1" applyAlignment="1">
      <alignment horizontal="center"/>
    </xf>
    <xf numFmtId="0" fontId="39" fillId="26" borderId="31" xfId="0" applyFont="1" applyFill="1" applyBorder="1" applyAlignment="1">
      <alignment horizontal="center" vertical="center" wrapText="1"/>
    </xf>
    <xf numFmtId="0" fontId="39" fillId="26" borderId="32" xfId="0" applyFont="1" applyFill="1" applyBorder="1" applyAlignment="1">
      <alignment horizontal="center" vertical="center" wrapText="1"/>
    </xf>
    <xf numFmtId="0" fontId="39" fillId="26" borderId="33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3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9" fillId="26" borderId="20" xfId="0" applyFont="1" applyFill="1" applyBorder="1" applyAlignment="1">
      <alignment horizontal="center" vertical="center" wrapText="1"/>
    </xf>
    <xf numFmtId="0" fontId="38" fillId="26" borderId="29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/>
    </xf>
    <xf numFmtId="0" fontId="37" fillId="0" borderId="13" xfId="0" applyFont="1" applyBorder="1" applyAlignment="1">
      <alignment horizontal="left" vertical="center" wrapText="1"/>
    </xf>
    <xf numFmtId="0" fontId="39" fillId="24" borderId="13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/>
    </xf>
    <xf numFmtId="0" fontId="39" fillId="26" borderId="20" xfId="0" applyFont="1" applyFill="1" applyBorder="1" applyAlignment="1">
      <alignment horizontal="center" vertical="center" wrapText="1"/>
    </xf>
    <xf numFmtId="0" fontId="59" fillId="26" borderId="29" xfId="0" applyFont="1" applyFill="1" applyBorder="1" applyAlignment="1">
      <alignment horizontal="center" vertical="center" wrapText="1"/>
    </xf>
    <xf numFmtId="0" fontId="59" fillId="26" borderId="27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/>
    </xf>
    <xf numFmtId="164" fontId="37" fillId="0" borderId="13" xfId="0" applyNumberFormat="1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n_definito" xfId="49"/>
    <cellStyle name="Normale_Affidi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B32"/>
  <sheetViews>
    <sheetView workbookViewId="0" topLeftCell="A1">
      <selection activeCell="B8" sqref="B8"/>
    </sheetView>
  </sheetViews>
  <sheetFormatPr defaultColWidth="9.140625" defaultRowHeight="12.75"/>
  <cols>
    <col min="1" max="1" width="6.00390625" style="285" customWidth="1"/>
    <col min="2" max="2" width="80.28125" style="285" customWidth="1"/>
    <col min="3" max="3" width="26.140625" style="285" customWidth="1"/>
    <col min="4" max="16384" width="9.140625" style="285" customWidth="1"/>
  </cols>
  <sheetData>
    <row r="1" ht="18" customHeight="1">
      <c r="B1" s="285" t="s">
        <v>307</v>
      </c>
    </row>
    <row r="2" spans="1:2" ht="18" customHeight="1">
      <c r="A2" s="286">
        <v>1</v>
      </c>
      <c r="B2" s="285" t="s">
        <v>308</v>
      </c>
    </row>
    <row r="3" spans="1:2" ht="18" customHeight="1">
      <c r="A3" s="286">
        <v>2</v>
      </c>
      <c r="B3" s="285" t="s">
        <v>309</v>
      </c>
    </row>
    <row r="4" spans="1:2" ht="18" customHeight="1">
      <c r="A4" s="286">
        <v>3</v>
      </c>
      <c r="B4" s="285" t="s">
        <v>310</v>
      </c>
    </row>
    <row r="5" spans="1:2" ht="18" customHeight="1">
      <c r="A5" s="286">
        <v>4</v>
      </c>
      <c r="B5" s="285" t="s">
        <v>311</v>
      </c>
    </row>
    <row r="6" spans="1:2" ht="18" customHeight="1">
      <c r="A6" s="286">
        <v>5</v>
      </c>
      <c r="B6" s="285" t="s">
        <v>312</v>
      </c>
    </row>
    <row r="7" spans="1:2" ht="18" customHeight="1">
      <c r="A7" s="286">
        <v>6</v>
      </c>
      <c r="B7" s="285" t="s">
        <v>313</v>
      </c>
    </row>
    <row r="8" spans="1:2" ht="18" customHeight="1">
      <c r="A8" s="286">
        <v>7</v>
      </c>
      <c r="B8" s="285" t="s">
        <v>58</v>
      </c>
    </row>
    <row r="9" spans="1:2" ht="18" customHeight="1">
      <c r="A9" s="286">
        <v>8</v>
      </c>
      <c r="B9" s="285" t="s">
        <v>306</v>
      </c>
    </row>
    <row r="10" spans="1:2" ht="18" customHeight="1">
      <c r="A10" s="286">
        <v>9</v>
      </c>
      <c r="B10" s="285" t="s">
        <v>314</v>
      </c>
    </row>
    <row r="11" spans="1:2" ht="18" customHeight="1">
      <c r="A11" s="286">
        <v>10</v>
      </c>
      <c r="B11" s="285" t="s">
        <v>315</v>
      </c>
    </row>
    <row r="12" spans="1:2" ht="18" customHeight="1">
      <c r="A12" s="286">
        <v>11</v>
      </c>
      <c r="B12" s="285" t="s">
        <v>316</v>
      </c>
    </row>
    <row r="13" spans="1:2" ht="18" customHeight="1">
      <c r="A13" s="286">
        <v>12</v>
      </c>
      <c r="B13" s="285" t="s">
        <v>286</v>
      </c>
    </row>
    <row r="14" spans="1:2" ht="18" customHeight="1">
      <c r="A14" s="286">
        <v>13</v>
      </c>
      <c r="B14" s="285" t="s">
        <v>317</v>
      </c>
    </row>
    <row r="15" spans="1:2" ht="18" customHeight="1">
      <c r="A15" s="286">
        <v>14</v>
      </c>
      <c r="B15" s="285" t="s">
        <v>318</v>
      </c>
    </row>
    <row r="16" spans="1:2" ht="18" customHeight="1">
      <c r="A16" s="286">
        <v>15</v>
      </c>
      <c r="B16" s="285" t="s">
        <v>284</v>
      </c>
    </row>
    <row r="17" spans="1:2" ht="18" customHeight="1">
      <c r="A17" s="286">
        <v>16</v>
      </c>
      <c r="B17" s="285" t="s">
        <v>319</v>
      </c>
    </row>
    <row r="18" spans="1:2" ht="18" customHeight="1">
      <c r="A18" s="286">
        <v>17</v>
      </c>
      <c r="B18" s="285" t="s">
        <v>320</v>
      </c>
    </row>
    <row r="19" spans="1:2" ht="18" customHeight="1">
      <c r="A19" s="286">
        <v>18</v>
      </c>
      <c r="B19" s="285" t="s">
        <v>321</v>
      </c>
    </row>
    <row r="20" spans="1:2" ht="18" customHeight="1">
      <c r="A20" s="286">
        <v>19</v>
      </c>
      <c r="B20" s="285" t="s">
        <v>322</v>
      </c>
    </row>
    <row r="21" spans="1:2" ht="18" customHeight="1">
      <c r="A21" s="286">
        <v>20</v>
      </c>
      <c r="B21" s="285" t="s">
        <v>323</v>
      </c>
    </row>
    <row r="22" spans="1:2" ht="18" customHeight="1">
      <c r="A22" s="286">
        <v>21</v>
      </c>
      <c r="B22" s="285" t="s">
        <v>324</v>
      </c>
    </row>
    <row r="23" spans="1:2" ht="18" customHeight="1">
      <c r="A23" s="286">
        <v>22</v>
      </c>
      <c r="B23" s="285" t="s">
        <v>325</v>
      </c>
    </row>
    <row r="24" spans="1:2" ht="18" customHeight="1">
      <c r="A24" s="286">
        <v>23</v>
      </c>
      <c r="B24" s="285" t="s">
        <v>326</v>
      </c>
    </row>
    <row r="25" spans="1:2" ht="18" customHeight="1">
      <c r="A25" s="286">
        <v>24</v>
      </c>
      <c r="B25" s="285" t="s">
        <v>327</v>
      </c>
    </row>
    <row r="26" spans="1:2" ht="18" customHeight="1">
      <c r="A26" s="286">
        <v>25</v>
      </c>
      <c r="B26" s="285" t="s">
        <v>187</v>
      </c>
    </row>
    <row r="27" spans="1:2" ht="18" customHeight="1">
      <c r="A27" s="286">
        <v>26</v>
      </c>
      <c r="B27" s="285" t="s">
        <v>328</v>
      </c>
    </row>
    <row r="28" spans="1:2" ht="18" customHeight="1">
      <c r="A28" s="286">
        <v>27</v>
      </c>
      <c r="B28" s="285" t="s">
        <v>329</v>
      </c>
    </row>
    <row r="29" ht="18" customHeight="1">
      <c r="A29" s="286"/>
    </row>
    <row r="30" ht="18" customHeight="1">
      <c r="A30" s="286"/>
    </row>
    <row r="31" ht="18" customHeight="1">
      <c r="A31" s="286"/>
    </row>
    <row r="32" ht="18" customHeight="1">
      <c r="A32" s="286"/>
    </row>
    <row r="33" ht="18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58"/>
  <sheetViews>
    <sheetView workbookViewId="0" topLeftCell="A1">
      <selection activeCell="A5" sqref="A5:A52"/>
    </sheetView>
  </sheetViews>
  <sheetFormatPr defaultColWidth="9.140625" defaultRowHeight="12.75"/>
  <cols>
    <col min="1" max="1" width="42.421875" style="56" customWidth="1"/>
    <col min="2" max="2" width="19.8515625" style="82" customWidth="1"/>
    <col min="3" max="3" width="41.28125" style="164" customWidth="1"/>
    <col min="4" max="16384" width="11.57421875" style="54" customWidth="1"/>
  </cols>
  <sheetData>
    <row r="1" spans="1:4" s="48" customFormat="1" ht="30" customHeight="1">
      <c r="A1" s="545" t="s">
        <v>355</v>
      </c>
      <c r="B1" s="545"/>
      <c r="C1" s="545"/>
      <c r="D1" s="254">
        <v>40071156</v>
      </c>
    </row>
    <row r="2" spans="1:4" s="264" customFormat="1" ht="46.5" customHeight="1">
      <c r="A2" s="567" t="s">
        <v>367</v>
      </c>
      <c r="B2" s="568"/>
      <c r="C2" s="544"/>
      <c r="D2" s="263"/>
    </row>
    <row r="3" spans="1:4" s="50" customFormat="1" ht="31.5" customHeight="1">
      <c r="A3" s="42" t="s">
        <v>12</v>
      </c>
      <c r="B3" s="89" t="s">
        <v>211</v>
      </c>
      <c r="C3" s="79" t="s">
        <v>212</v>
      </c>
      <c r="D3" s="265"/>
    </row>
    <row r="4" spans="1:3" s="51" customFormat="1" ht="15" customHeight="1">
      <c r="A4" s="28" t="s">
        <v>32</v>
      </c>
      <c r="B4" s="266"/>
      <c r="C4" s="163"/>
    </row>
    <row r="5" spans="1:3" s="51" customFormat="1" ht="15" customHeight="1">
      <c r="A5" s="532"/>
      <c r="B5" s="361">
        <v>8</v>
      </c>
      <c r="C5" s="353">
        <f>B5*25</f>
        <v>200</v>
      </c>
    </row>
    <row r="6" spans="1:3" ht="15" customHeight="1">
      <c r="A6" s="532"/>
      <c r="B6" s="362">
        <v>2</v>
      </c>
      <c r="C6" s="363">
        <f aca="true" t="shared" si="0" ref="C6:C52">B6*25</f>
        <v>50</v>
      </c>
    </row>
    <row r="7" spans="1:3" ht="15" customHeight="1">
      <c r="A7" s="532"/>
      <c r="B7" s="362">
        <v>1</v>
      </c>
      <c r="C7" s="363">
        <f t="shared" si="0"/>
        <v>25</v>
      </c>
    </row>
    <row r="8" spans="1:3" ht="15" customHeight="1">
      <c r="A8" s="532"/>
      <c r="B8" s="362">
        <v>7</v>
      </c>
      <c r="C8" s="363">
        <f t="shared" si="0"/>
        <v>175</v>
      </c>
    </row>
    <row r="9" spans="1:3" ht="15" customHeight="1">
      <c r="A9" s="532"/>
      <c r="B9" s="362">
        <v>2</v>
      </c>
      <c r="C9" s="363">
        <f t="shared" si="0"/>
        <v>50</v>
      </c>
    </row>
    <row r="10" spans="1:3" ht="15" customHeight="1">
      <c r="A10" s="532"/>
      <c r="B10" s="362">
        <v>6</v>
      </c>
      <c r="C10" s="363">
        <f t="shared" si="0"/>
        <v>150</v>
      </c>
    </row>
    <row r="11" spans="1:3" ht="15" customHeight="1">
      <c r="A11" s="532"/>
      <c r="B11" s="362">
        <v>4</v>
      </c>
      <c r="C11" s="363">
        <f t="shared" si="0"/>
        <v>100</v>
      </c>
    </row>
    <row r="12" spans="1:3" ht="15" customHeight="1">
      <c r="A12" s="532"/>
      <c r="B12" s="362">
        <v>7</v>
      </c>
      <c r="C12" s="363">
        <f t="shared" si="0"/>
        <v>175</v>
      </c>
    </row>
    <row r="13" spans="1:3" ht="15" customHeight="1">
      <c r="A13" s="532"/>
      <c r="B13" s="362">
        <v>2</v>
      </c>
      <c r="C13" s="363">
        <f t="shared" si="0"/>
        <v>50</v>
      </c>
    </row>
    <row r="14" spans="1:3" ht="15" customHeight="1">
      <c r="A14" s="532"/>
      <c r="B14" s="362">
        <v>1</v>
      </c>
      <c r="C14" s="363">
        <f t="shared" si="0"/>
        <v>25</v>
      </c>
    </row>
    <row r="15" spans="1:3" ht="15" customHeight="1">
      <c r="A15" s="532"/>
      <c r="B15" s="362">
        <v>2</v>
      </c>
      <c r="C15" s="363">
        <f>B15*25</f>
        <v>50</v>
      </c>
    </row>
    <row r="16" spans="1:3" ht="15" customHeight="1">
      <c r="A16" s="540"/>
      <c r="B16" s="362">
        <v>4</v>
      </c>
      <c r="C16" s="363">
        <f t="shared" si="0"/>
        <v>100</v>
      </c>
    </row>
    <row r="17" spans="1:3" ht="15" customHeight="1">
      <c r="A17" s="532"/>
      <c r="B17" s="362">
        <v>2</v>
      </c>
      <c r="C17" s="363">
        <f t="shared" si="0"/>
        <v>50</v>
      </c>
    </row>
    <row r="18" spans="1:3" ht="15" customHeight="1">
      <c r="A18" s="532"/>
      <c r="B18" s="362">
        <v>3</v>
      </c>
      <c r="C18" s="363">
        <f t="shared" si="0"/>
        <v>75</v>
      </c>
    </row>
    <row r="19" spans="1:3" ht="15" customHeight="1">
      <c r="A19" s="532"/>
      <c r="B19" s="362">
        <v>5</v>
      </c>
      <c r="C19" s="363">
        <f t="shared" si="0"/>
        <v>125</v>
      </c>
    </row>
    <row r="20" spans="1:3" ht="15" customHeight="1">
      <c r="A20" s="532"/>
      <c r="B20" s="362">
        <v>8</v>
      </c>
      <c r="C20" s="363">
        <f t="shared" si="0"/>
        <v>200</v>
      </c>
    </row>
    <row r="21" spans="1:3" ht="15" customHeight="1">
      <c r="A21" s="532"/>
      <c r="B21" s="362">
        <v>5</v>
      </c>
      <c r="C21" s="363">
        <f t="shared" si="0"/>
        <v>125</v>
      </c>
    </row>
    <row r="22" spans="1:3" ht="15" customHeight="1">
      <c r="A22" s="532"/>
      <c r="B22" s="362">
        <v>3</v>
      </c>
      <c r="C22" s="363">
        <f t="shared" si="0"/>
        <v>75</v>
      </c>
    </row>
    <row r="23" spans="1:3" ht="15" customHeight="1">
      <c r="A23" s="532"/>
      <c r="B23" s="362">
        <v>6</v>
      </c>
      <c r="C23" s="363">
        <f t="shared" si="0"/>
        <v>150</v>
      </c>
    </row>
    <row r="24" spans="1:3" ht="15" customHeight="1">
      <c r="A24" s="532"/>
      <c r="B24" s="362">
        <v>18</v>
      </c>
      <c r="C24" s="363">
        <f t="shared" si="0"/>
        <v>450</v>
      </c>
    </row>
    <row r="25" spans="1:3" ht="15" customHeight="1">
      <c r="A25" s="532"/>
      <c r="B25" s="362">
        <v>1</v>
      </c>
      <c r="C25" s="363">
        <f t="shared" si="0"/>
        <v>25</v>
      </c>
    </row>
    <row r="26" spans="1:3" ht="15" customHeight="1">
      <c r="A26" s="532"/>
      <c r="B26" s="362">
        <v>5</v>
      </c>
      <c r="C26" s="363">
        <f t="shared" si="0"/>
        <v>125</v>
      </c>
    </row>
    <row r="27" spans="1:3" ht="15" customHeight="1">
      <c r="A27" s="532"/>
      <c r="B27" s="362">
        <v>3</v>
      </c>
      <c r="C27" s="363">
        <f t="shared" si="0"/>
        <v>75</v>
      </c>
    </row>
    <row r="28" spans="1:3" ht="15" customHeight="1">
      <c r="A28" s="532"/>
      <c r="B28" s="362">
        <v>1</v>
      </c>
      <c r="C28" s="363">
        <f t="shared" si="0"/>
        <v>25</v>
      </c>
    </row>
    <row r="29" spans="1:3" ht="15" customHeight="1">
      <c r="A29" s="532"/>
      <c r="B29" s="362">
        <v>1</v>
      </c>
      <c r="C29" s="363">
        <f t="shared" si="0"/>
        <v>25</v>
      </c>
    </row>
    <row r="30" spans="1:3" ht="15" customHeight="1">
      <c r="A30" s="541"/>
      <c r="B30" s="364">
        <v>6</v>
      </c>
      <c r="C30" s="365">
        <f t="shared" si="0"/>
        <v>150</v>
      </c>
    </row>
    <row r="31" spans="1:3" ht="15" customHeight="1">
      <c r="A31" s="536"/>
      <c r="B31" s="364">
        <v>6</v>
      </c>
      <c r="C31" s="365">
        <f t="shared" si="0"/>
        <v>150</v>
      </c>
    </row>
    <row r="32" spans="1:3" ht="15" customHeight="1">
      <c r="A32" s="536"/>
      <c r="B32" s="364">
        <v>4</v>
      </c>
      <c r="C32" s="365">
        <f t="shared" si="0"/>
        <v>100</v>
      </c>
    </row>
    <row r="33" spans="1:3" ht="15" customHeight="1">
      <c r="A33" s="536"/>
      <c r="B33" s="362">
        <v>2</v>
      </c>
      <c r="C33" s="363">
        <f t="shared" si="0"/>
        <v>50</v>
      </c>
    </row>
    <row r="34" spans="1:3" ht="15" customHeight="1">
      <c r="A34" s="536"/>
      <c r="B34" s="362">
        <v>2</v>
      </c>
      <c r="C34" s="363">
        <f t="shared" si="0"/>
        <v>50</v>
      </c>
    </row>
    <row r="35" spans="1:3" ht="15" customHeight="1">
      <c r="A35" s="536"/>
      <c r="B35" s="362">
        <v>6</v>
      </c>
      <c r="C35" s="363">
        <f t="shared" si="0"/>
        <v>150</v>
      </c>
    </row>
    <row r="36" spans="1:3" ht="15" customHeight="1">
      <c r="A36" s="536"/>
      <c r="B36" s="362">
        <v>6</v>
      </c>
      <c r="C36" s="363">
        <f t="shared" si="0"/>
        <v>150</v>
      </c>
    </row>
    <row r="37" spans="1:3" ht="15" customHeight="1">
      <c r="A37" s="536"/>
      <c r="B37" s="362">
        <v>3</v>
      </c>
      <c r="C37" s="363">
        <f t="shared" si="0"/>
        <v>75</v>
      </c>
    </row>
    <row r="38" spans="1:3" ht="15" customHeight="1">
      <c r="A38" s="536"/>
      <c r="B38" s="362">
        <v>3</v>
      </c>
      <c r="C38" s="363">
        <f t="shared" si="0"/>
        <v>75</v>
      </c>
    </row>
    <row r="39" spans="1:3" ht="15" customHeight="1">
      <c r="A39" s="536"/>
      <c r="B39" s="362">
        <v>8</v>
      </c>
      <c r="C39" s="363">
        <f t="shared" si="0"/>
        <v>200</v>
      </c>
    </row>
    <row r="40" spans="1:3" ht="15" customHeight="1">
      <c r="A40" s="536"/>
      <c r="B40" s="362">
        <v>4</v>
      </c>
      <c r="C40" s="363">
        <f t="shared" si="0"/>
        <v>100</v>
      </c>
    </row>
    <row r="41" spans="1:3" ht="15" customHeight="1">
      <c r="A41" s="536"/>
      <c r="B41" s="362">
        <v>6</v>
      </c>
      <c r="C41" s="363">
        <f t="shared" si="0"/>
        <v>150</v>
      </c>
    </row>
    <row r="42" spans="1:3" ht="15" customHeight="1">
      <c r="A42" s="536"/>
      <c r="B42" s="362">
        <v>3</v>
      </c>
      <c r="C42" s="363">
        <f t="shared" si="0"/>
        <v>75</v>
      </c>
    </row>
    <row r="43" spans="1:3" ht="15" customHeight="1">
      <c r="A43" s="536"/>
      <c r="B43" s="362">
        <v>5</v>
      </c>
      <c r="C43" s="363">
        <f t="shared" si="0"/>
        <v>125</v>
      </c>
    </row>
    <row r="44" spans="1:3" ht="15" customHeight="1">
      <c r="A44" s="536"/>
      <c r="B44" s="362">
        <v>1</v>
      </c>
      <c r="C44" s="363">
        <f t="shared" si="0"/>
        <v>25</v>
      </c>
    </row>
    <row r="45" spans="1:3" ht="15" customHeight="1">
      <c r="A45" s="536"/>
      <c r="B45" s="362">
        <v>1</v>
      </c>
      <c r="C45" s="363">
        <f t="shared" si="0"/>
        <v>25</v>
      </c>
    </row>
    <row r="46" spans="1:3" ht="15" customHeight="1">
      <c r="A46" s="536"/>
      <c r="B46" s="362">
        <v>3</v>
      </c>
      <c r="C46" s="363">
        <f t="shared" si="0"/>
        <v>75</v>
      </c>
    </row>
    <row r="47" spans="1:3" ht="15" customHeight="1">
      <c r="A47" s="536"/>
      <c r="B47" s="362">
        <v>8</v>
      </c>
      <c r="C47" s="363">
        <f t="shared" si="0"/>
        <v>200</v>
      </c>
    </row>
    <row r="48" spans="1:3" ht="15" customHeight="1">
      <c r="A48" s="536"/>
      <c r="B48" s="362">
        <v>2</v>
      </c>
      <c r="C48" s="363">
        <f t="shared" si="0"/>
        <v>50</v>
      </c>
    </row>
    <row r="49" spans="1:3" ht="15" customHeight="1">
      <c r="A49" s="536"/>
      <c r="B49" s="362">
        <v>1</v>
      </c>
      <c r="C49" s="363">
        <f t="shared" si="0"/>
        <v>25</v>
      </c>
    </row>
    <row r="50" spans="1:3" ht="15" customHeight="1">
      <c r="A50" s="536"/>
      <c r="B50" s="362">
        <v>8</v>
      </c>
      <c r="C50" s="363">
        <f t="shared" si="0"/>
        <v>200</v>
      </c>
    </row>
    <row r="51" spans="1:3" ht="15" customHeight="1">
      <c r="A51" s="536"/>
      <c r="B51" s="362">
        <v>1</v>
      </c>
      <c r="C51" s="363">
        <f t="shared" si="0"/>
        <v>25</v>
      </c>
    </row>
    <row r="52" spans="1:3" ht="15" customHeight="1">
      <c r="A52" s="536"/>
      <c r="B52" s="362">
        <v>4</v>
      </c>
      <c r="C52" s="363">
        <f t="shared" si="0"/>
        <v>100</v>
      </c>
    </row>
    <row r="53" spans="1:3" s="161" customFormat="1" ht="15" customHeight="1">
      <c r="A53" s="80" t="s">
        <v>83</v>
      </c>
      <c r="B53" s="103">
        <f>SUM(B5:B52)</f>
        <v>200</v>
      </c>
      <c r="C53" s="148">
        <f>SUM(C5:C52)</f>
        <v>5000</v>
      </c>
    </row>
    <row r="58" ht="12.75">
      <c r="A58" s="84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J379"/>
  <sheetViews>
    <sheetView tabSelected="1" workbookViewId="0" topLeftCell="A1">
      <selection activeCell="L6" sqref="L6"/>
    </sheetView>
  </sheetViews>
  <sheetFormatPr defaultColWidth="9.140625" defaultRowHeight="12.75"/>
  <cols>
    <col min="1" max="1" width="41.57421875" style="56" customWidth="1"/>
    <col min="2" max="2" width="38.7109375" style="54" customWidth="1"/>
    <col min="3" max="3" width="11.57421875" style="33" customWidth="1"/>
    <col min="4" max="5" width="8.57421875" style="33" hidden="1" customWidth="1"/>
    <col min="6" max="6" width="9.00390625" style="33" hidden="1" customWidth="1"/>
    <col min="7" max="7" width="13.421875" style="33" hidden="1" customWidth="1"/>
    <col min="8" max="8" width="33.28125" style="164" customWidth="1"/>
    <col min="9" max="9" width="26.57421875" style="54" customWidth="1"/>
    <col min="10" max="16384" width="11.57421875" style="54" customWidth="1"/>
  </cols>
  <sheetData>
    <row r="1" spans="1:9" s="48" customFormat="1" ht="39" customHeight="1">
      <c r="A1" s="545" t="s">
        <v>356</v>
      </c>
      <c r="B1" s="545"/>
      <c r="C1" s="545"/>
      <c r="D1" s="545"/>
      <c r="E1" s="545"/>
      <c r="F1" s="545"/>
      <c r="G1" s="545"/>
      <c r="H1" s="545"/>
      <c r="I1" s="94">
        <v>40071155</v>
      </c>
    </row>
    <row r="2" spans="1:8" s="49" customFormat="1" ht="39" customHeight="1">
      <c r="A2" s="551" t="s">
        <v>247</v>
      </c>
      <c r="B2" s="569"/>
      <c r="C2" s="570"/>
      <c r="D2" s="570"/>
      <c r="E2" s="570"/>
      <c r="F2" s="570"/>
      <c r="G2" s="570"/>
      <c r="H2" s="570"/>
    </row>
    <row r="3" spans="1:8" s="50" customFormat="1" ht="15" customHeight="1">
      <c r="A3" s="117" t="s">
        <v>12</v>
      </c>
      <c r="B3" s="26" t="s">
        <v>13</v>
      </c>
      <c r="C3" s="27" t="s">
        <v>160</v>
      </c>
      <c r="D3" s="27" t="s">
        <v>33</v>
      </c>
      <c r="E3" s="27" t="s">
        <v>34</v>
      </c>
      <c r="F3" s="27" t="s">
        <v>36</v>
      </c>
      <c r="G3" s="27" t="s">
        <v>37</v>
      </c>
      <c r="H3" s="35" t="s">
        <v>22</v>
      </c>
    </row>
    <row r="4" spans="1:8" s="51" customFormat="1" ht="15" customHeight="1">
      <c r="A4" s="28" t="s">
        <v>26</v>
      </c>
      <c r="B4" s="58"/>
      <c r="C4" s="29"/>
      <c r="D4" s="29"/>
      <c r="E4" s="29"/>
      <c r="F4" s="29"/>
      <c r="G4" s="29"/>
      <c r="H4" s="356"/>
    </row>
    <row r="5" spans="1:8" s="73" customFormat="1" ht="15" customHeight="1">
      <c r="A5" s="350" t="s">
        <v>368</v>
      </c>
      <c r="B5" s="317"/>
      <c r="C5" s="351"/>
      <c r="D5" s="352"/>
      <c r="E5" s="353"/>
      <c r="F5" s="366"/>
      <c r="G5" s="366"/>
      <c r="H5" s="355">
        <v>900</v>
      </c>
    </row>
    <row r="6" spans="1:8" s="53" customFormat="1" ht="15" customHeight="1">
      <c r="A6" s="532"/>
      <c r="B6" s="542"/>
      <c r="C6" s="301">
        <v>1</v>
      </c>
      <c r="D6" s="301"/>
      <c r="E6" s="301"/>
      <c r="F6" s="301"/>
      <c r="G6" s="301">
        <v>1</v>
      </c>
      <c r="H6" s="355">
        <v>275</v>
      </c>
    </row>
    <row r="7" spans="1:8" s="53" customFormat="1" ht="15" customHeight="1">
      <c r="A7" s="532"/>
      <c r="B7" s="542"/>
      <c r="C7" s="301">
        <v>1</v>
      </c>
      <c r="D7" s="301"/>
      <c r="E7" s="301">
        <v>1</v>
      </c>
      <c r="F7" s="301"/>
      <c r="G7" s="301">
        <v>1</v>
      </c>
      <c r="H7" s="355">
        <v>1236.14</v>
      </c>
    </row>
    <row r="8" spans="1:8" s="53" customFormat="1" ht="15" customHeight="1">
      <c r="A8" s="532"/>
      <c r="B8" s="542"/>
      <c r="C8" s="301">
        <v>1</v>
      </c>
      <c r="D8" s="301"/>
      <c r="E8" s="301"/>
      <c r="F8" s="301"/>
      <c r="G8" s="301"/>
      <c r="H8" s="355">
        <v>37.5</v>
      </c>
    </row>
    <row r="9" spans="1:8" s="53" customFormat="1" ht="15" customHeight="1">
      <c r="A9" s="532"/>
      <c r="B9" s="542"/>
      <c r="C9" s="301">
        <v>1</v>
      </c>
      <c r="D9" s="301"/>
      <c r="E9" s="301"/>
      <c r="F9" s="301"/>
      <c r="G9" s="301"/>
      <c r="H9" s="355">
        <v>500</v>
      </c>
    </row>
    <row r="10" spans="1:8" s="53" customFormat="1" ht="15" customHeight="1">
      <c r="A10" s="532"/>
      <c r="B10" s="542"/>
      <c r="C10" s="301">
        <v>1</v>
      </c>
      <c r="D10" s="301"/>
      <c r="E10" s="301"/>
      <c r="F10" s="301"/>
      <c r="G10" s="301">
        <v>1</v>
      </c>
      <c r="H10" s="355">
        <v>300</v>
      </c>
    </row>
    <row r="11" spans="1:8" s="53" customFormat="1" ht="15" customHeight="1">
      <c r="A11" s="532"/>
      <c r="B11" s="542"/>
      <c r="C11" s="301">
        <v>1</v>
      </c>
      <c r="D11" s="301"/>
      <c r="E11" s="301">
        <v>1</v>
      </c>
      <c r="F11" s="301">
        <v>1</v>
      </c>
      <c r="G11" s="301"/>
      <c r="H11" s="355">
        <v>200</v>
      </c>
    </row>
    <row r="12" spans="1:8" s="53" customFormat="1" ht="15" customHeight="1">
      <c r="A12" s="532"/>
      <c r="B12" s="542"/>
      <c r="C12" s="301">
        <v>1</v>
      </c>
      <c r="D12" s="301"/>
      <c r="E12" s="301">
        <v>1</v>
      </c>
      <c r="F12" s="301"/>
      <c r="G12" s="301">
        <v>1</v>
      </c>
      <c r="H12" s="355">
        <v>507</v>
      </c>
    </row>
    <row r="13" spans="1:8" s="53" customFormat="1" ht="15" customHeight="1">
      <c r="A13" s="532"/>
      <c r="B13" s="542"/>
      <c r="C13" s="301">
        <v>1</v>
      </c>
      <c r="D13" s="301">
        <v>1</v>
      </c>
      <c r="E13" s="301"/>
      <c r="F13" s="301"/>
      <c r="G13" s="301">
        <v>1</v>
      </c>
      <c r="H13" s="355">
        <v>250</v>
      </c>
    </row>
    <row r="14" spans="1:8" s="53" customFormat="1" ht="15" customHeight="1">
      <c r="A14" s="532"/>
      <c r="B14" s="542"/>
      <c r="C14" s="301">
        <v>1</v>
      </c>
      <c r="D14" s="301">
        <v>1</v>
      </c>
      <c r="E14" s="301"/>
      <c r="F14" s="301">
        <v>1</v>
      </c>
      <c r="G14" s="301"/>
      <c r="H14" s="355">
        <v>250</v>
      </c>
    </row>
    <row r="15" spans="1:8" s="53" customFormat="1" ht="15" customHeight="1">
      <c r="A15" s="532"/>
      <c r="B15" s="542"/>
      <c r="C15" s="301">
        <v>1</v>
      </c>
      <c r="D15" s="301">
        <v>1</v>
      </c>
      <c r="E15" s="301"/>
      <c r="F15" s="301">
        <v>1</v>
      </c>
      <c r="G15" s="301"/>
      <c r="H15" s="355">
        <v>300</v>
      </c>
    </row>
    <row r="16" spans="1:8" s="53" customFormat="1" ht="15" customHeight="1">
      <c r="A16" s="532"/>
      <c r="B16" s="542"/>
      <c r="C16" s="301">
        <v>1</v>
      </c>
      <c r="D16" s="301">
        <v>1</v>
      </c>
      <c r="E16" s="301"/>
      <c r="F16" s="301"/>
      <c r="G16" s="301">
        <v>1</v>
      </c>
      <c r="H16" s="355">
        <v>225</v>
      </c>
    </row>
    <row r="17" spans="1:8" s="53" customFormat="1" ht="15" customHeight="1">
      <c r="A17" s="532"/>
      <c r="B17" s="542"/>
      <c r="C17" s="301">
        <v>1</v>
      </c>
      <c r="D17" s="301"/>
      <c r="E17" s="301"/>
      <c r="F17" s="301"/>
      <c r="G17" s="301"/>
      <c r="H17" s="355">
        <v>60</v>
      </c>
    </row>
    <row r="18" spans="1:8" s="53" customFormat="1" ht="15" customHeight="1">
      <c r="A18" s="532"/>
      <c r="B18" s="542"/>
      <c r="C18" s="301">
        <v>1</v>
      </c>
      <c r="D18" s="301"/>
      <c r="E18" s="301"/>
      <c r="F18" s="301"/>
      <c r="G18" s="301"/>
      <c r="H18" s="355">
        <v>275</v>
      </c>
    </row>
    <row r="19" spans="1:8" s="53" customFormat="1" ht="15" customHeight="1">
      <c r="A19" s="532"/>
      <c r="B19" s="542"/>
      <c r="C19" s="301">
        <v>1</v>
      </c>
      <c r="D19" s="301"/>
      <c r="E19" s="301">
        <v>1</v>
      </c>
      <c r="F19" s="301">
        <v>1</v>
      </c>
      <c r="G19" s="301"/>
      <c r="H19" s="355">
        <v>1100</v>
      </c>
    </row>
    <row r="20" spans="1:8" s="53" customFormat="1" ht="15" customHeight="1">
      <c r="A20" s="532"/>
      <c r="B20" s="542"/>
      <c r="C20" s="301">
        <v>1</v>
      </c>
      <c r="D20" s="301"/>
      <c r="E20" s="301"/>
      <c r="F20" s="301"/>
      <c r="G20" s="301">
        <v>1</v>
      </c>
      <c r="H20" s="355">
        <v>700</v>
      </c>
    </row>
    <row r="21" spans="1:8" s="53" customFormat="1" ht="15" customHeight="1">
      <c r="A21" s="532"/>
      <c r="B21" s="542"/>
      <c r="C21" s="301">
        <v>1</v>
      </c>
      <c r="D21" s="301"/>
      <c r="E21" s="301"/>
      <c r="F21" s="301"/>
      <c r="G21" s="301"/>
      <c r="H21" s="355">
        <v>600</v>
      </c>
    </row>
    <row r="22" spans="1:8" s="53" customFormat="1" ht="15" customHeight="1">
      <c r="A22" s="532"/>
      <c r="B22" s="542"/>
      <c r="C22" s="301">
        <v>1</v>
      </c>
      <c r="D22" s="301"/>
      <c r="E22" s="301"/>
      <c r="F22" s="301"/>
      <c r="G22" s="301"/>
      <c r="H22" s="355">
        <v>130</v>
      </c>
    </row>
    <row r="23" spans="1:8" s="53" customFormat="1" ht="15" customHeight="1">
      <c r="A23" s="532"/>
      <c r="B23" s="542"/>
      <c r="C23" s="301">
        <v>1</v>
      </c>
      <c r="D23" s="301"/>
      <c r="E23" s="301"/>
      <c r="F23" s="301"/>
      <c r="G23" s="301">
        <v>1</v>
      </c>
      <c r="H23" s="355">
        <v>130</v>
      </c>
    </row>
    <row r="24" spans="1:8" s="53" customFormat="1" ht="15" customHeight="1">
      <c r="A24" s="532"/>
      <c r="B24" s="542"/>
      <c r="C24" s="301">
        <v>1</v>
      </c>
      <c r="D24" s="301"/>
      <c r="E24" s="301">
        <v>1</v>
      </c>
      <c r="F24" s="301"/>
      <c r="G24" s="301">
        <v>1</v>
      </c>
      <c r="H24" s="355">
        <v>110</v>
      </c>
    </row>
    <row r="25" spans="1:8" s="53" customFormat="1" ht="15" customHeight="1">
      <c r="A25" s="532"/>
      <c r="B25" s="542"/>
      <c r="C25" s="301">
        <v>1</v>
      </c>
      <c r="D25" s="301"/>
      <c r="E25" s="301"/>
      <c r="F25" s="301"/>
      <c r="G25" s="301"/>
      <c r="H25" s="355">
        <v>250</v>
      </c>
    </row>
    <row r="26" spans="1:8" s="53" customFormat="1" ht="15" customHeight="1">
      <c r="A26" s="532"/>
      <c r="B26" s="542"/>
      <c r="C26" s="301">
        <v>1</v>
      </c>
      <c r="D26" s="301"/>
      <c r="E26" s="301"/>
      <c r="F26" s="301"/>
      <c r="G26" s="301"/>
      <c r="H26" s="355">
        <v>130</v>
      </c>
    </row>
    <row r="27" spans="1:8" s="53" customFormat="1" ht="15" customHeight="1">
      <c r="A27" s="532"/>
      <c r="B27" s="542"/>
      <c r="C27" s="301">
        <v>1</v>
      </c>
      <c r="D27" s="301"/>
      <c r="E27" s="301"/>
      <c r="F27" s="301"/>
      <c r="G27" s="301"/>
      <c r="H27" s="355">
        <v>180</v>
      </c>
    </row>
    <row r="28" spans="1:8" s="161" customFormat="1" ht="15" customHeight="1">
      <c r="A28" s="75" t="s">
        <v>40</v>
      </c>
      <c r="B28" s="85"/>
      <c r="C28" s="121">
        <f>SUM(C6:C27)</f>
        <v>22</v>
      </c>
      <c r="D28" s="113"/>
      <c r="E28" s="113"/>
      <c r="F28" s="113"/>
      <c r="G28" s="112"/>
      <c r="H28" s="147">
        <f>SUM(H5:H27)</f>
        <v>8645.64</v>
      </c>
    </row>
    <row r="29" spans="1:8" s="51" customFormat="1" ht="15" customHeight="1">
      <c r="A29" s="28" t="s">
        <v>24</v>
      </c>
      <c r="B29" s="58"/>
      <c r="C29" s="29"/>
      <c r="D29" s="29"/>
      <c r="E29" s="29"/>
      <c r="F29" s="29"/>
      <c r="G29" s="29"/>
      <c r="H29" s="356"/>
    </row>
    <row r="30" spans="1:8" s="81" customFormat="1" ht="15" customHeight="1">
      <c r="A30" s="532"/>
      <c r="B30" s="542"/>
      <c r="C30" s="300">
        <v>1</v>
      </c>
      <c r="D30" s="300">
        <v>1</v>
      </c>
      <c r="E30" s="300"/>
      <c r="F30" s="300"/>
      <c r="G30" s="300">
        <v>1</v>
      </c>
      <c r="H30" s="353">
        <v>200</v>
      </c>
    </row>
    <row r="31" spans="1:8" s="81" customFormat="1" ht="15" customHeight="1">
      <c r="A31" s="532"/>
      <c r="B31" s="542"/>
      <c r="C31" s="300">
        <v>1</v>
      </c>
      <c r="D31" s="300">
        <v>1</v>
      </c>
      <c r="E31" s="300"/>
      <c r="F31" s="300"/>
      <c r="G31" s="300">
        <v>1</v>
      </c>
      <c r="H31" s="353">
        <v>620</v>
      </c>
    </row>
    <row r="32" spans="1:8" s="81" customFormat="1" ht="15" customHeight="1">
      <c r="A32" s="532"/>
      <c r="B32" s="542"/>
      <c r="C32" s="300">
        <v>1</v>
      </c>
      <c r="D32" s="300"/>
      <c r="E32" s="300"/>
      <c r="F32" s="300"/>
      <c r="G32" s="300"/>
      <c r="H32" s="353">
        <v>1600</v>
      </c>
    </row>
    <row r="33" spans="1:8" s="81" customFormat="1" ht="15" customHeight="1">
      <c r="A33" s="532"/>
      <c r="B33" s="542"/>
      <c r="C33" s="300">
        <v>1</v>
      </c>
      <c r="D33" s="300"/>
      <c r="E33" s="300"/>
      <c r="F33" s="300"/>
      <c r="G33" s="300"/>
      <c r="H33" s="353">
        <f>375*2</f>
        <v>750</v>
      </c>
    </row>
    <row r="34" spans="1:8" s="73" customFormat="1" ht="15" customHeight="1">
      <c r="A34" s="532"/>
      <c r="B34" s="542"/>
      <c r="C34" s="300">
        <v>1</v>
      </c>
      <c r="D34" s="300">
        <v>1</v>
      </c>
      <c r="E34" s="300"/>
      <c r="F34" s="300"/>
      <c r="G34" s="300">
        <v>1</v>
      </c>
      <c r="H34" s="353">
        <v>950</v>
      </c>
    </row>
    <row r="35" spans="1:8" s="73" customFormat="1" ht="15" customHeight="1">
      <c r="A35" s="532"/>
      <c r="B35" s="542"/>
      <c r="C35" s="300">
        <v>1</v>
      </c>
      <c r="D35" s="300"/>
      <c r="E35" s="300">
        <v>1</v>
      </c>
      <c r="F35" s="300"/>
      <c r="G35" s="300">
        <v>1</v>
      </c>
      <c r="H35" s="353">
        <v>900</v>
      </c>
    </row>
    <row r="36" spans="1:8" s="73" customFormat="1" ht="15" customHeight="1">
      <c r="A36" s="532"/>
      <c r="B36" s="542"/>
      <c r="C36" s="300">
        <v>1</v>
      </c>
      <c r="D36" s="300"/>
      <c r="E36" s="300"/>
      <c r="F36" s="300"/>
      <c r="G36" s="300">
        <v>1</v>
      </c>
      <c r="H36" s="353">
        <v>1100</v>
      </c>
    </row>
    <row r="37" spans="1:8" s="73" customFormat="1" ht="15" customHeight="1">
      <c r="A37" s="532"/>
      <c r="B37" s="542"/>
      <c r="C37" s="300">
        <v>1</v>
      </c>
      <c r="D37" s="300">
        <v>1</v>
      </c>
      <c r="E37" s="300"/>
      <c r="F37" s="300"/>
      <c r="G37" s="300">
        <v>1</v>
      </c>
      <c r="H37" s="353">
        <v>1230</v>
      </c>
    </row>
    <row r="38" spans="1:8" s="73" customFormat="1" ht="15" customHeight="1">
      <c r="A38" s="532"/>
      <c r="B38" s="542"/>
      <c r="C38" s="300">
        <v>1</v>
      </c>
      <c r="D38" s="300"/>
      <c r="E38" s="300"/>
      <c r="F38" s="300"/>
      <c r="G38" s="300">
        <v>1</v>
      </c>
      <c r="H38" s="353">
        <v>570</v>
      </c>
    </row>
    <row r="39" spans="1:8" s="73" customFormat="1" ht="15" customHeight="1">
      <c r="A39" s="532"/>
      <c r="B39" s="542"/>
      <c r="C39" s="300">
        <v>1</v>
      </c>
      <c r="D39" s="300"/>
      <c r="E39" s="300">
        <v>1</v>
      </c>
      <c r="F39" s="300">
        <v>1</v>
      </c>
      <c r="G39" s="300"/>
      <c r="H39" s="353">
        <v>250</v>
      </c>
    </row>
    <row r="40" spans="1:9" s="73" customFormat="1" ht="15" customHeight="1">
      <c r="A40" s="532"/>
      <c r="B40" s="542"/>
      <c r="C40" s="300">
        <v>1</v>
      </c>
      <c r="D40" s="300"/>
      <c r="E40" s="300"/>
      <c r="F40" s="300"/>
      <c r="G40" s="300"/>
      <c r="H40" s="353">
        <f>320+250*3</f>
        <v>1070</v>
      </c>
      <c r="I40" s="223"/>
    </row>
    <row r="41" spans="1:8" s="73" customFormat="1" ht="15" customHeight="1">
      <c r="A41" s="532"/>
      <c r="B41" s="542"/>
      <c r="C41" s="300">
        <v>1</v>
      </c>
      <c r="D41" s="300"/>
      <c r="E41" s="300"/>
      <c r="F41" s="300"/>
      <c r="G41" s="300"/>
      <c r="H41" s="353">
        <v>920</v>
      </c>
    </row>
    <row r="42" spans="1:8" s="73" customFormat="1" ht="15" customHeight="1">
      <c r="A42" s="532"/>
      <c r="B42" s="542"/>
      <c r="C42" s="300">
        <v>1</v>
      </c>
      <c r="D42" s="300">
        <v>1</v>
      </c>
      <c r="E42" s="300"/>
      <c r="F42" s="300">
        <v>1</v>
      </c>
      <c r="G42" s="300"/>
      <c r="H42" s="353">
        <v>750</v>
      </c>
    </row>
    <row r="43" spans="1:8" s="73" customFormat="1" ht="15" customHeight="1">
      <c r="A43" s="532"/>
      <c r="B43" s="542"/>
      <c r="C43" s="300">
        <v>1</v>
      </c>
      <c r="D43" s="300"/>
      <c r="E43" s="300"/>
      <c r="F43" s="300"/>
      <c r="G43" s="300"/>
      <c r="H43" s="353">
        <v>600</v>
      </c>
    </row>
    <row r="44" spans="1:8" s="73" customFormat="1" ht="15" customHeight="1">
      <c r="A44" s="532"/>
      <c r="B44" s="542"/>
      <c r="C44" s="300">
        <v>1</v>
      </c>
      <c r="D44" s="300"/>
      <c r="E44" s="300"/>
      <c r="F44" s="300"/>
      <c r="G44" s="300"/>
      <c r="H44" s="353">
        <v>265</v>
      </c>
    </row>
    <row r="45" spans="1:8" s="73" customFormat="1" ht="15" customHeight="1">
      <c r="A45" s="532"/>
      <c r="B45" s="542"/>
      <c r="C45" s="300">
        <v>1</v>
      </c>
      <c r="D45" s="300"/>
      <c r="E45" s="300"/>
      <c r="F45" s="300"/>
      <c r="G45" s="300"/>
      <c r="H45" s="353">
        <v>400</v>
      </c>
    </row>
    <row r="46" spans="1:8" s="73" customFormat="1" ht="15" customHeight="1">
      <c r="A46" s="532"/>
      <c r="B46" s="542"/>
      <c r="C46" s="300">
        <v>1</v>
      </c>
      <c r="D46" s="300"/>
      <c r="E46" s="300">
        <v>1</v>
      </c>
      <c r="F46" s="300">
        <v>1</v>
      </c>
      <c r="G46" s="300"/>
      <c r="H46" s="353">
        <v>600</v>
      </c>
    </row>
    <row r="47" spans="1:8" s="73" customFormat="1" ht="15" customHeight="1">
      <c r="A47" s="532"/>
      <c r="B47" s="542"/>
      <c r="C47" s="300">
        <v>1</v>
      </c>
      <c r="D47" s="300"/>
      <c r="E47" s="300"/>
      <c r="F47" s="300"/>
      <c r="G47" s="300"/>
      <c r="H47" s="353">
        <v>942.35</v>
      </c>
    </row>
    <row r="48" spans="1:8" s="73" customFormat="1" ht="15" customHeight="1">
      <c r="A48" s="532"/>
      <c r="B48" s="542"/>
      <c r="C48" s="300">
        <v>1</v>
      </c>
      <c r="D48" s="300"/>
      <c r="E48" s="300">
        <v>1</v>
      </c>
      <c r="F48" s="300"/>
      <c r="G48" s="300">
        <v>1</v>
      </c>
      <c r="H48" s="353">
        <v>250</v>
      </c>
    </row>
    <row r="49" spans="1:8" s="73" customFormat="1" ht="15" customHeight="1">
      <c r="A49" s="532"/>
      <c r="B49" s="542"/>
      <c r="C49" s="300">
        <v>1</v>
      </c>
      <c r="D49" s="300"/>
      <c r="E49" s="300">
        <v>1</v>
      </c>
      <c r="F49" s="300">
        <v>1</v>
      </c>
      <c r="G49" s="300"/>
      <c r="H49" s="353">
        <f>450+250+150+250+250</f>
        <v>1350</v>
      </c>
    </row>
    <row r="50" spans="1:8" s="73" customFormat="1" ht="15" customHeight="1">
      <c r="A50" s="532"/>
      <c r="B50" s="542"/>
      <c r="C50" s="300">
        <v>1</v>
      </c>
      <c r="D50" s="300"/>
      <c r="E50" s="300"/>
      <c r="F50" s="300"/>
      <c r="G50" s="300"/>
      <c r="H50" s="353">
        <v>200</v>
      </c>
    </row>
    <row r="51" spans="1:8" s="73" customFormat="1" ht="15" customHeight="1">
      <c r="A51" s="532"/>
      <c r="B51" s="542"/>
      <c r="C51" s="300">
        <v>1</v>
      </c>
      <c r="D51" s="300">
        <v>1</v>
      </c>
      <c r="E51" s="300"/>
      <c r="F51" s="300">
        <v>1</v>
      </c>
      <c r="G51" s="300"/>
      <c r="H51" s="353">
        <v>200</v>
      </c>
    </row>
    <row r="52" spans="1:8" s="73" customFormat="1" ht="15" customHeight="1">
      <c r="A52" s="532"/>
      <c r="B52" s="542"/>
      <c r="C52" s="300">
        <v>1</v>
      </c>
      <c r="D52" s="300">
        <v>1</v>
      </c>
      <c r="E52" s="300"/>
      <c r="F52" s="300">
        <v>1</v>
      </c>
      <c r="G52" s="300"/>
      <c r="H52" s="353">
        <v>300</v>
      </c>
    </row>
    <row r="53" spans="1:8" s="73" customFormat="1" ht="15" customHeight="1">
      <c r="A53" s="532"/>
      <c r="B53" s="542"/>
      <c r="C53" s="300">
        <v>1</v>
      </c>
      <c r="D53" s="300"/>
      <c r="E53" s="300"/>
      <c r="F53" s="300"/>
      <c r="G53" s="300">
        <v>1</v>
      </c>
      <c r="H53" s="353">
        <v>300</v>
      </c>
    </row>
    <row r="54" spans="1:8" s="73" customFormat="1" ht="15" customHeight="1">
      <c r="A54" s="532"/>
      <c r="B54" s="542"/>
      <c r="C54" s="300">
        <v>1</v>
      </c>
      <c r="D54" s="300"/>
      <c r="E54" s="300"/>
      <c r="F54" s="300"/>
      <c r="G54" s="300"/>
      <c r="H54" s="353">
        <v>790</v>
      </c>
    </row>
    <row r="55" spans="1:8" s="73" customFormat="1" ht="15" customHeight="1">
      <c r="A55" s="532"/>
      <c r="B55" s="542"/>
      <c r="C55" s="300">
        <v>1</v>
      </c>
      <c r="D55" s="300"/>
      <c r="E55" s="300">
        <v>1</v>
      </c>
      <c r="F55" s="300"/>
      <c r="G55" s="300">
        <v>1</v>
      </c>
      <c r="H55" s="353">
        <v>200</v>
      </c>
    </row>
    <row r="56" spans="1:8" s="73" customFormat="1" ht="15" customHeight="1">
      <c r="A56" s="532"/>
      <c r="B56" s="542"/>
      <c r="C56" s="300">
        <v>1</v>
      </c>
      <c r="D56" s="300">
        <v>1</v>
      </c>
      <c r="E56" s="300"/>
      <c r="F56" s="300"/>
      <c r="G56" s="300">
        <v>1</v>
      </c>
      <c r="H56" s="353">
        <v>290</v>
      </c>
    </row>
    <row r="57" spans="1:8" s="73" customFormat="1" ht="15" customHeight="1">
      <c r="A57" s="532"/>
      <c r="B57" s="542"/>
      <c r="C57" s="300">
        <v>1</v>
      </c>
      <c r="D57" s="300"/>
      <c r="E57" s="300"/>
      <c r="F57" s="300"/>
      <c r="G57" s="300"/>
      <c r="H57" s="353">
        <v>400</v>
      </c>
    </row>
    <row r="58" spans="1:8" s="73" customFormat="1" ht="15" customHeight="1">
      <c r="A58" s="532"/>
      <c r="B58" s="542"/>
      <c r="C58" s="300">
        <v>1</v>
      </c>
      <c r="D58" s="300">
        <v>1</v>
      </c>
      <c r="E58" s="300"/>
      <c r="F58" s="300"/>
      <c r="G58" s="300">
        <v>1</v>
      </c>
      <c r="H58" s="353">
        <v>250</v>
      </c>
    </row>
    <row r="59" spans="1:8" s="73" customFormat="1" ht="15" customHeight="1">
      <c r="A59" s="532"/>
      <c r="B59" s="542"/>
      <c r="C59" s="300">
        <v>1</v>
      </c>
      <c r="D59" s="300"/>
      <c r="E59" s="300"/>
      <c r="F59" s="300"/>
      <c r="G59" s="300"/>
      <c r="H59" s="353">
        <v>250</v>
      </c>
    </row>
    <row r="60" spans="1:8" s="73" customFormat="1" ht="15" customHeight="1">
      <c r="A60" s="532"/>
      <c r="B60" s="542"/>
      <c r="C60" s="300">
        <v>1</v>
      </c>
      <c r="D60" s="300"/>
      <c r="E60" s="300"/>
      <c r="F60" s="300"/>
      <c r="G60" s="300"/>
      <c r="H60" s="353">
        <v>980</v>
      </c>
    </row>
    <row r="61" spans="1:8" s="73" customFormat="1" ht="15" customHeight="1">
      <c r="A61" s="532"/>
      <c r="B61" s="542"/>
      <c r="C61" s="300">
        <v>1</v>
      </c>
      <c r="D61" s="300"/>
      <c r="E61" s="300"/>
      <c r="F61" s="300"/>
      <c r="G61" s="300"/>
      <c r="H61" s="353">
        <v>650</v>
      </c>
    </row>
    <row r="62" spans="1:8" s="73" customFormat="1" ht="15" customHeight="1">
      <c r="A62" s="532"/>
      <c r="B62" s="542"/>
      <c r="C62" s="300">
        <v>1</v>
      </c>
      <c r="D62" s="300"/>
      <c r="E62" s="300">
        <v>1</v>
      </c>
      <c r="F62" s="300"/>
      <c r="G62" s="300">
        <v>1</v>
      </c>
      <c r="H62" s="353">
        <v>125</v>
      </c>
    </row>
    <row r="63" spans="1:8" s="73" customFormat="1" ht="15" customHeight="1">
      <c r="A63" s="532"/>
      <c r="B63" s="542"/>
      <c r="C63" s="300">
        <v>1</v>
      </c>
      <c r="D63" s="300"/>
      <c r="E63" s="300"/>
      <c r="F63" s="300"/>
      <c r="G63" s="300"/>
      <c r="H63" s="353">
        <v>140</v>
      </c>
    </row>
    <row r="64" spans="1:8" s="73" customFormat="1" ht="15" customHeight="1">
      <c r="A64" s="532"/>
      <c r="B64" s="542"/>
      <c r="C64" s="300">
        <v>1</v>
      </c>
      <c r="D64" s="300"/>
      <c r="E64" s="300"/>
      <c r="F64" s="300"/>
      <c r="G64" s="300"/>
      <c r="H64" s="353">
        <v>615</v>
      </c>
    </row>
    <row r="65" spans="1:8" s="73" customFormat="1" ht="15" customHeight="1">
      <c r="A65" s="532"/>
      <c r="B65" s="543"/>
      <c r="C65" s="300">
        <v>1</v>
      </c>
      <c r="D65" s="300"/>
      <c r="E65" s="300"/>
      <c r="F65" s="300"/>
      <c r="G65" s="300">
        <v>1</v>
      </c>
      <c r="H65" s="353">
        <v>600</v>
      </c>
    </row>
    <row r="66" spans="1:8" s="73" customFormat="1" ht="15" customHeight="1">
      <c r="A66" s="532"/>
      <c r="B66" s="542"/>
      <c r="C66" s="300">
        <v>1</v>
      </c>
      <c r="D66" s="300"/>
      <c r="E66" s="300">
        <v>1</v>
      </c>
      <c r="F66" s="300">
        <v>1</v>
      </c>
      <c r="G66" s="300"/>
      <c r="H66" s="353">
        <v>250</v>
      </c>
    </row>
    <row r="67" spans="1:8" s="73" customFormat="1" ht="15" customHeight="1">
      <c r="A67" s="532"/>
      <c r="B67" s="542"/>
      <c r="C67" s="300">
        <v>1</v>
      </c>
      <c r="D67" s="300"/>
      <c r="E67" s="300">
        <v>1</v>
      </c>
      <c r="F67" s="300"/>
      <c r="G67" s="300">
        <v>1</v>
      </c>
      <c r="H67" s="353">
        <v>300</v>
      </c>
    </row>
    <row r="68" spans="1:8" s="73" customFormat="1" ht="15" customHeight="1">
      <c r="A68" s="532"/>
      <c r="B68" s="543"/>
      <c r="C68" s="300">
        <v>1</v>
      </c>
      <c r="D68" s="300"/>
      <c r="E68" s="300"/>
      <c r="F68" s="300"/>
      <c r="G68" s="300">
        <v>1</v>
      </c>
      <c r="H68" s="353">
        <f>250*4+250*2+500</f>
        <v>2000</v>
      </c>
    </row>
    <row r="69" spans="1:8" s="73" customFormat="1" ht="15" customHeight="1">
      <c r="A69" s="532"/>
      <c r="B69" s="542"/>
      <c r="C69" s="300">
        <v>1</v>
      </c>
      <c r="D69" s="300"/>
      <c r="E69" s="300"/>
      <c r="F69" s="300"/>
      <c r="G69" s="300">
        <v>1</v>
      </c>
      <c r="H69" s="353">
        <v>207</v>
      </c>
    </row>
    <row r="70" spans="1:8" s="73" customFormat="1" ht="15" customHeight="1">
      <c r="A70" s="532"/>
      <c r="B70" s="542"/>
      <c r="C70" s="300">
        <v>1</v>
      </c>
      <c r="D70" s="300"/>
      <c r="E70" s="300">
        <v>1</v>
      </c>
      <c r="F70" s="300"/>
      <c r="G70" s="300">
        <v>1</v>
      </c>
      <c r="H70" s="353">
        <v>340</v>
      </c>
    </row>
    <row r="71" spans="1:8" s="73" customFormat="1" ht="15" customHeight="1">
      <c r="A71" s="532"/>
      <c r="B71" s="542"/>
      <c r="C71" s="300">
        <v>1</v>
      </c>
      <c r="D71" s="300"/>
      <c r="E71" s="300">
        <v>1</v>
      </c>
      <c r="F71" s="300"/>
      <c r="G71" s="300"/>
      <c r="H71" s="353">
        <v>130</v>
      </c>
    </row>
    <row r="72" spans="1:8" s="73" customFormat="1" ht="15" customHeight="1">
      <c r="A72" s="532"/>
      <c r="B72" s="542"/>
      <c r="C72" s="300">
        <v>1</v>
      </c>
      <c r="D72" s="300"/>
      <c r="E72" s="300"/>
      <c r="F72" s="300"/>
      <c r="G72" s="300">
        <v>1</v>
      </c>
      <c r="H72" s="353">
        <v>1200</v>
      </c>
    </row>
    <row r="73" spans="1:8" s="73" customFormat="1" ht="15" customHeight="1">
      <c r="A73" s="532"/>
      <c r="B73" s="542"/>
      <c r="C73" s="300">
        <v>1</v>
      </c>
      <c r="D73" s="300"/>
      <c r="E73" s="300">
        <v>1</v>
      </c>
      <c r="F73" s="300">
        <v>1</v>
      </c>
      <c r="G73" s="300"/>
      <c r="H73" s="353">
        <f>250+90+135</f>
        <v>475</v>
      </c>
    </row>
    <row r="74" spans="1:8" s="73" customFormat="1" ht="15" customHeight="1">
      <c r="A74" s="532"/>
      <c r="B74" s="542"/>
      <c r="C74" s="300">
        <v>1</v>
      </c>
      <c r="D74" s="300"/>
      <c r="E74" s="300">
        <v>1</v>
      </c>
      <c r="F74" s="300"/>
      <c r="G74" s="300"/>
      <c r="H74" s="353">
        <v>2400</v>
      </c>
    </row>
    <row r="75" spans="1:8" s="73" customFormat="1" ht="15" customHeight="1">
      <c r="A75" s="532"/>
      <c r="B75" s="542"/>
      <c r="C75" s="300">
        <v>1</v>
      </c>
      <c r="D75" s="300">
        <v>1</v>
      </c>
      <c r="E75" s="300"/>
      <c r="F75" s="300">
        <v>1</v>
      </c>
      <c r="G75" s="300"/>
      <c r="H75" s="353">
        <f>2500+700</f>
        <v>3200</v>
      </c>
    </row>
    <row r="76" spans="1:8" s="73" customFormat="1" ht="15" customHeight="1">
      <c r="A76" s="532"/>
      <c r="B76" s="542"/>
      <c r="C76" s="300">
        <v>1</v>
      </c>
      <c r="D76" s="300"/>
      <c r="E76" s="300">
        <v>1</v>
      </c>
      <c r="F76" s="300">
        <v>1</v>
      </c>
      <c r="G76" s="300"/>
      <c r="H76" s="353">
        <v>3000</v>
      </c>
    </row>
    <row r="77" spans="1:8" s="73" customFormat="1" ht="15" customHeight="1">
      <c r="A77" s="532"/>
      <c r="B77" s="542"/>
      <c r="C77" s="300">
        <v>1</v>
      </c>
      <c r="D77" s="300"/>
      <c r="E77" s="300"/>
      <c r="F77" s="300"/>
      <c r="G77" s="300">
        <v>1</v>
      </c>
      <c r="H77" s="353">
        <f>466*3+500</f>
        <v>1898</v>
      </c>
    </row>
    <row r="78" spans="1:8" s="73" customFormat="1" ht="15" customHeight="1">
      <c r="A78" s="532"/>
      <c r="B78" s="542"/>
      <c r="C78" s="300">
        <v>1</v>
      </c>
      <c r="D78" s="300"/>
      <c r="E78" s="300"/>
      <c r="F78" s="300"/>
      <c r="G78" s="300">
        <v>1</v>
      </c>
      <c r="H78" s="353">
        <v>245</v>
      </c>
    </row>
    <row r="79" spans="1:8" s="73" customFormat="1" ht="15" customHeight="1">
      <c r="A79" s="532"/>
      <c r="B79" s="542"/>
      <c r="C79" s="300">
        <v>1</v>
      </c>
      <c r="D79" s="300">
        <v>1</v>
      </c>
      <c r="E79" s="300"/>
      <c r="F79" s="300"/>
      <c r="G79" s="300">
        <v>1</v>
      </c>
      <c r="H79" s="353">
        <v>550</v>
      </c>
    </row>
    <row r="80" spans="1:8" s="73" customFormat="1" ht="15" customHeight="1">
      <c r="A80" s="532"/>
      <c r="B80" s="542"/>
      <c r="C80" s="300">
        <v>1</v>
      </c>
      <c r="D80" s="300"/>
      <c r="E80" s="300"/>
      <c r="F80" s="300"/>
      <c r="G80" s="300">
        <v>1</v>
      </c>
      <c r="H80" s="353">
        <v>2400</v>
      </c>
    </row>
    <row r="81" spans="1:8" s="73" customFormat="1" ht="15" customHeight="1">
      <c r="A81" s="532"/>
      <c r="B81" s="542"/>
      <c r="C81" s="300">
        <v>1</v>
      </c>
      <c r="D81" s="300"/>
      <c r="E81" s="300"/>
      <c r="F81" s="300"/>
      <c r="G81" s="300"/>
      <c r="H81" s="353">
        <v>1800</v>
      </c>
    </row>
    <row r="82" spans="1:8" s="73" customFormat="1" ht="15" customHeight="1">
      <c r="A82" s="532"/>
      <c r="B82" s="542"/>
      <c r="C82" s="300">
        <v>1</v>
      </c>
      <c r="D82" s="300"/>
      <c r="E82" s="300"/>
      <c r="F82" s="300"/>
      <c r="G82" s="300"/>
      <c r="H82" s="353">
        <v>370</v>
      </c>
    </row>
    <row r="83" spans="1:8" s="73" customFormat="1" ht="15" customHeight="1">
      <c r="A83" s="532"/>
      <c r="B83" s="542"/>
      <c r="C83" s="300">
        <v>1</v>
      </c>
      <c r="D83" s="300"/>
      <c r="E83" s="300"/>
      <c r="F83" s="300"/>
      <c r="G83" s="300"/>
      <c r="H83" s="353">
        <v>300</v>
      </c>
    </row>
    <row r="84" spans="1:8" s="73" customFormat="1" ht="15" customHeight="1">
      <c r="A84" s="532"/>
      <c r="B84" s="542"/>
      <c r="C84" s="300">
        <v>1</v>
      </c>
      <c r="D84" s="300"/>
      <c r="E84" s="300"/>
      <c r="F84" s="300"/>
      <c r="G84" s="300"/>
      <c r="H84" s="353">
        <f>806+300+390</f>
        <v>1496</v>
      </c>
    </row>
    <row r="85" spans="1:8" s="73" customFormat="1" ht="15" customHeight="1">
      <c r="A85" s="532"/>
      <c r="B85" s="542"/>
      <c r="C85" s="300">
        <v>1</v>
      </c>
      <c r="D85" s="300"/>
      <c r="E85" s="300"/>
      <c r="F85" s="300"/>
      <c r="G85" s="300">
        <v>1</v>
      </c>
      <c r="H85" s="353">
        <v>900</v>
      </c>
    </row>
    <row r="86" spans="1:8" s="73" customFormat="1" ht="15" customHeight="1">
      <c r="A86" s="532"/>
      <c r="B86" s="542"/>
      <c r="C86" s="300">
        <v>1</v>
      </c>
      <c r="D86" s="300"/>
      <c r="E86" s="300"/>
      <c r="F86" s="300"/>
      <c r="G86" s="300">
        <v>1</v>
      </c>
      <c r="H86" s="353">
        <v>250</v>
      </c>
    </row>
    <row r="87" spans="1:8" s="73" customFormat="1" ht="15" customHeight="1">
      <c r="A87" s="532"/>
      <c r="B87" s="542"/>
      <c r="C87" s="300">
        <v>1</v>
      </c>
      <c r="D87" s="300"/>
      <c r="E87" s="300"/>
      <c r="F87" s="300"/>
      <c r="G87" s="300"/>
      <c r="H87" s="353">
        <v>150</v>
      </c>
    </row>
    <row r="88" spans="1:8" s="73" customFormat="1" ht="15" customHeight="1">
      <c r="A88" s="532"/>
      <c r="B88" s="542"/>
      <c r="C88" s="300">
        <v>1</v>
      </c>
      <c r="D88" s="300"/>
      <c r="E88" s="300"/>
      <c r="F88" s="300"/>
      <c r="G88" s="300"/>
      <c r="H88" s="353">
        <v>400</v>
      </c>
    </row>
    <row r="89" spans="1:8" s="73" customFormat="1" ht="15" customHeight="1">
      <c r="A89" s="532"/>
      <c r="B89" s="542"/>
      <c r="C89" s="300">
        <v>1</v>
      </c>
      <c r="D89" s="300"/>
      <c r="E89" s="300">
        <v>1</v>
      </c>
      <c r="F89" s="300"/>
      <c r="G89" s="300">
        <v>1</v>
      </c>
      <c r="H89" s="353">
        <v>240</v>
      </c>
    </row>
    <row r="90" spans="1:8" s="73" customFormat="1" ht="15" customHeight="1">
      <c r="A90" s="532"/>
      <c r="B90" s="542"/>
      <c r="C90" s="300">
        <v>1</v>
      </c>
      <c r="D90" s="300"/>
      <c r="E90" s="300"/>
      <c r="F90" s="300"/>
      <c r="G90" s="300">
        <v>1</v>
      </c>
      <c r="H90" s="353">
        <v>250</v>
      </c>
    </row>
    <row r="91" spans="1:8" s="73" customFormat="1" ht="15" customHeight="1">
      <c r="A91" s="532"/>
      <c r="B91" s="542"/>
      <c r="C91" s="300">
        <v>1</v>
      </c>
      <c r="D91" s="300"/>
      <c r="E91" s="300">
        <v>1</v>
      </c>
      <c r="F91" s="300"/>
      <c r="G91" s="300">
        <v>1</v>
      </c>
      <c r="H91" s="353">
        <v>350</v>
      </c>
    </row>
    <row r="92" spans="1:8" s="73" customFormat="1" ht="15" customHeight="1">
      <c r="A92" s="532"/>
      <c r="B92" s="542"/>
      <c r="C92" s="300">
        <v>1</v>
      </c>
      <c r="D92" s="300"/>
      <c r="E92" s="300"/>
      <c r="F92" s="300"/>
      <c r="G92" s="300"/>
      <c r="H92" s="353">
        <v>300</v>
      </c>
    </row>
    <row r="93" spans="1:8" s="73" customFormat="1" ht="15" customHeight="1">
      <c r="A93" s="532"/>
      <c r="B93" s="542"/>
      <c r="C93" s="300">
        <v>1</v>
      </c>
      <c r="D93" s="300"/>
      <c r="E93" s="300"/>
      <c r="F93" s="300"/>
      <c r="G93" s="300"/>
      <c r="H93" s="353">
        <v>750</v>
      </c>
    </row>
    <row r="94" spans="1:8" s="73" customFormat="1" ht="15" customHeight="1">
      <c r="A94" s="532"/>
      <c r="B94" s="542"/>
      <c r="C94" s="300">
        <v>1</v>
      </c>
      <c r="D94" s="300"/>
      <c r="E94" s="300">
        <v>1</v>
      </c>
      <c r="F94" s="300"/>
      <c r="G94" s="300">
        <v>1</v>
      </c>
      <c r="H94" s="353">
        <v>600</v>
      </c>
    </row>
    <row r="95" spans="1:8" s="73" customFormat="1" ht="15" customHeight="1">
      <c r="A95" s="532"/>
      <c r="B95" s="542"/>
      <c r="C95" s="300">
        <v>1</v>
      </c>
      <c r="D95" s="300"/>
      <c r="E95" s="300"/>
      <c r="F95" s="300"/>
      <c r="G95" s="300"/>
      <c r="H95" s="353">
        <v>200</v>
      </c>
    </row>
    <row r="96" spans="1:8" s="73" customFormat="1" ht="15" customHeight="1">
      <c r="A96" s="532"/>
      <c r="B96" s="542"/>
      <c r="C96" s="300">
        <v>1</v>
      </c>
      <c r="D96" s="300">
        <v>1</v>
      </c>
      <c r="E96" s="300"/>
      <c r="F96" s="300">
        <v>1</v>
      </c>
      <c r="G96" s="300"/>
      <c r="H96" s="353">
        <v>296</v>
      </c>
    </row>
    <row r="97" spans="1:8" s="73" customFormat="1" ht="15" customHeight="1">
      <c r="A97" s="532"/>
      <c r="B97" s="542"/>
      <c r="C97" s="300">
        <v>1</v>
      </c>
      <c r="D97" s="300"/>
      <c r="E97" s="300">
        <v>1</v>
      </c>
      <c r="F97" s="300"/>
      <c r="G97" s="300">
        <v>1</v>
      </c>
      <c r="H97" s="353">
        <v>822</v>
      </c>
    </row>
    <row r="98" spans="1:8" s="73" customFormat="1" ht="15" customHeight="1">
      <c r="A98" s="532"/>
      <c r="B98" s="542"/>
      <c r="C98" s="300">
        <v>1</v>
      </c>
      <c r="D98" s="300"/>
      <c r="E98" s="300"/>
      <c r="F98" s="300"/>
      <c r="G98" s="300"/>
      <c r="H98" s="353">
        <v>400</v>
      </c>
    </row>
    <row r="99" spans="1:8" s="73" customFormat="1" ht="15" customHeight="1">
      <c r="A99" s="532"/>
      <c r="B99" s="542"/>
      <c r="C99" s="300">
        <v>1</v>
      </c>
      <c r="D99" s="300">
        <v>1</v>
      </c>
      <c r="E99" s="300"/>
      <c r="F99" s="300">
        <v>1</v>
      </c>
      <c r="G99" s="300"/>
      <c r="H99" s="353">
        <v>800</v>
      </c>
    </row>
    <row r="100" spans="1:8" s="73" customFormat="1" ht="15" customHeight="1">
      <c r="A100" s="532"/>
      <c r="B100" s="542"/>
      <c r="C100" s="300">
        <v>1</v>
      </c>
      <c r="D100" s="300"/>
      <c r="E100" s="300"/>
      <c r="F100" s="300"/>
      <c r="G100" s="300">
        <v>1</v>
      </c>
      <c r="H100" s="353">
        <f>200*3+40.95</f>
        <v>640.95</v>
      </c>
    </row>
    <row r="101" spans="1:8" s="73" customFormat="1" ht="15" customHeight="1">
      <c r="A101" s="532"/>
      <c r="B101" s="542"/>
      <c r="C101" s="300">
        <v>1</v>
      </c>
      <c r="D101" s="300"/>
      <c r="E101" s="300"/>
      <c r="F101" s="300"/>
      <c r="G101" s="300">
        <v>1</v>
      </c>
      <c r="H101" s="353">
        <v>500</v>
      </c>
    </row>
    <row r="102" spans="1:8" s="73" customFormat="1" ht="15" customHeight="1">
      <c r="A102" s="532"/>
      <c r="B102" s="542"/>
      <c r="C102" s="300">
        <v>1</v>
      </c>
      <c r="D102" s="300"/>
      <c r="E102" s="300">
        <v>1</v>
      </c>
      <c r="F102" s="300"/>
      <c r="G102" s="300">
        <v>1</v>
      </c>
      <c r="H102" s="353">
        <f>1600+320</f>
        <v>1920</v>
      </c>
    </row>
    <row r="103" spans="1:8" s="73" customFormat="1" ht="15" customHeight="1">
      <c r="A103" s="532"/>
      <c r="B103" s="542"/>
      <c r="C103" s="300">
        <v>1</v>
      </c>
      <c r="D103" s="300">
        <v>1</v>
      </c>
      <c r="E103" s="300"/>
      <c r="F103" s="300">
        <v>1</v>
      </c>
      <c r="G103" s="300"/>
      <c r="H103" s="353">
        <f>76+196</f>
        <v>272</v>
      </c>
    </row>
    <row r="104" spans="1:8" s="73" customFormat="1" ht="15" customHeight="1">
      <c r="A104" s="532"/>
      <c r="B104" s="542"/>
      <c r="C104" s="300">
        <v>1</v>
      </c>
      <c r="D104" s="300">
        <v>1</v>
      </c>
      <c r="E104" s="300"/>
      <c r="F104" s="300">
        <v>1</v>
      </c>
      <c r="G104" s="300"/>
      <c r="H104" s="353">
        <v>450</v>
      </c>
    </row>
    <row r="105" spans="1:8" s="73" customFormat="1" ht="15" customHeight="1">
      <c r="A105" s="532"/>
      <c r="B105" s="542"/>
      <c r="C105" s="300">
        <v>1</v>
      </c>
      <c r="D105" s="300"/>
      <c r="E105" s="300"/>
      <c r="F105" s="300"/>
      <c r="G105" s="300">
        <v>1</v>
      </c>
      <c r="H105" s="353">
        <v>1820</v>
      </c>
    </row>
    <row r="106" spans="1:8" s="73" customFormat="1" ht="15" customHeight="1">
      <c r="A106" s="532"/>
      <c r="B106" s="542"/>
      <c r="C106" s="300">
        <v>1</v>
      </c>
      <c r="D106" s="300"/>
      <c r="E106" s="300"/>
      <c r="F106" s="300"/>
      <c r="G106" s="300"/>
      <c r="H106" s="353">
        <v>1400</v>
      </c>
    </row>
    <row r="107" spans="1:8" s="73" customFormat="1" ht="15" customHeight="1">
      <c r="A107" s="532"/>
      <c r="B107" s="542"/>
      <c r="C107" s="300">
        <v>1</v>
      </c>
      <c r="D107" s="300"/>
      <c r="E107" s="300">
        <v>1</v>
      </c>
      <c r="F107" s="300">
        <v>1</v>
      </c>
      <c r="G107" s="300"/>
      <c r="H107" s="353">
        <v>300</v>
      </c>
    </row>
    <row r="108" spans="1:8" s="73" customFormat="1" ht="15" customHeight="1">
      <c r="A108" s="532"/>
      <c r="B108" s="542"/>
      <c r="C108" s="300">
        <v>1</v>
      </c>
      <c r="D108" s="300"/>
      <c r="E108" s="300"/>
      <c r="F108" s="300"/>
      <c r="G108" s="300"/>
      <c r="H108" s="353">
        <v>300</v>
      </c>
    </row>
    <row r="109" spans="1:8" s="73" customFormat="1" ht="15" customHeight="1">
      <c r="A109" s="532"/>
      <c r="B109" s="542"/>
      <c r="C109" s="300">
        <v>1</v>
      </c>
      <c r="D109" s="300"/>
      <c r="E109" s="300"/>
      <c r="F109" s="300"/>
      <c r="G109" s="300">
        <v>1</v>
      </c>
      <c r="H109" s="353">
        <v>300</v>
      </c>
    </row>
    <row r="110" spans="1:8" s="73" customFormat="1" ht="15" customHeight="1">
      <c r="A110" s="532"/>
      <c r="B110" s="542"/>
      <c r="C110" s="300">
        <v>1</v>
      </c>
      <c r="D110" s="300"/>
      <c r="E110" s="300">
        <v>1</v>
      </c>
      <c r="F110" s="300">
        <v>1</v>
      </c>
      <c r="G110" s="300"/>
      <c r="H110" s="353">
        <v>200</v>
      </c>
    </row>
    <row r="111" spans="1:8" s="73" customFormat="1" ht="15" customHeight="1">
      <c r="A111" s="532"/>
      <c r="B111" s="542"/>
      <c r="C111" s="300">
        <v>1</v>
      </c>
      <c r="D111" s="300"/>
      <c r="E111" s="300">
        <v>1</v>
      </c>
      <c r="F111" s="300">
        <v>1</v>
      </c>
      <c r="G111" s="300"/>
      <c r="H111" s="353">
        <v>470</v>
      </c>
    </row>
    <row r="112" spans="1:8" s="73" customFormat="1" ht="15" customHeight="1">
      <c r="A112" s="532"/>
      <c r="B112" s="542"/>
      <c r="C112" s="300">
        <v>1</v>
      </c>
      <c r="D112" s="300">
        <v>1</v>
      </c>
      <c r="E112" s="300"/>
      <c r="F112" s="300">
        <v>1</v>
      </c>
      <c r="G112" s="300"/>
      <c r="H112" s="353">
        <v>360</v>
      </c>
    </row>
    <row r="113" spans="1:8" s="73" customFormat="1" ht="15" customHeight="1">
      <c r="A113" s="532"/>
      <c r="B113" s="542"/>
      <c r="C113" s="300">
        <v>1</v>
      </c>
      <c r="D113" s="300"/>
      <c r="E113" s="300">
        <v>1</v>
      </c>
      <c r="F113" s="300"/>
      <c r="G113" s="300">
        <v>1</v>
      </c>
      <c r="H113" s="353">
        <v>300</v>
      </c>
    </row>
    <row r="114" spans="1:8" s="73" customFormat="1" ht="15" customHeight="1">
      <c r="A114" s="532"/>
      <c r="B114" s="542"/>
      <c r="C114" s="300">
        <v>1</v>
      </c>
      <c r="D114" s="300"/>
      <c r="E114" s="300">
        <v>1</v>
      </c>
      <c r="F114" s="300"/>
      <c r="G114" s="300"/>
      <c r="H114" s="353">
        <v>800</v>
      </c>
    </row>
    <row r="115" spans="1:8" s="73" customFormat="1" ht="15" customHeight="1">
      <c r="A115" s="532"/>
      <c r="B115" s="542"/>
      <c r="C115" s="300">
        <v>1</v>
      </c>
      <c r="D115" s="300">
        <v>1</v>
      </c>
      <c r="E115" s="300"/>
      <c r="F115" s="300"/>
      <c r="G115" s="300">
        <v>1</v>
      </c>
      <c r="H115" s="353">
        <v>500</v>
      </c>
    </row>
    <row r="116" spans="1:8" s="73" customFormat="1" ht="15" customHeight="1">
      <c r="A116" s="532"/>
      <c r="B116" s="542"/>
      <c r="C116" s="300">
        <v>1</v>
      </c>
      <c r="D116" s="300"/>
      <c r="E116" s="300"/>
      <c r="F116" s="300"/>
      <c r="G116" s="300"/>
      <c r="H116" s="353">
        <f>1122+900</f>
        <v>2022</v>
      </c>
    </row>
    <row r="117" spans="1:8" s="73" customFormat="1" ht="15" customHeight="1">
      <c r="A117" s="532"/>
      <c r="B117" s="542"/>
      <c r="C117" s="300">
        <v>1</v>
      </c>
      <c r="D117" s="300"/>
      <c r="E117" s="300">
        <v>1</v>
      </c>
      <c r="F117" s="300"/>
      <c r="G117" s="300">
        <v>1</v>
      </c>
      <c r="H117" s="353">
        <f>350+2500</f>
        <v>2850</v>
      </c>
    </row>
    <row r="118" spans="1:8" s="73" customFormat="1" ht="15" customHeight="1">
      <c r="A118" s="532"/>
      <c r="B118" s="542"/>
      <c r="C118" s="300">
        <v>1</v>
      </c>
      <c r="D118" s="300">
        <v>1</v>
      </c>
      <c r="E118" s="300"/>
      <c r="F118" s="300"/>
      <c r="G118" s="300"/>
      <c r="H118" s="353">
        <v>240</v>
      </c>
    </row>
    <row r="119" spans="1:8" s="73" customFormat="1" ht="15" customHeight="1">
      <c r="A119" s="532"/>
      <c r="B119" s="542"/>
      <c r="C119" s="300">
        <v>1</v>
      </c>
      <c r="D119" s="300"/>
      <c r="E119" s="300"/>
      <c r="F119" s="300"/>
      <c r="G119" s="300"/>
      <c r="H119" s="353">
        <v>148</v>
      </c>
    </row>
    <row r="120" spans="1:8" s="73" customFormat="1" ht="15" customHeight="1">
      <c r="A120" s="532"/>
      <c r="B120" s="542"/>
      <c r="C120" s="300">
        <v>1</v>
      </c>
      <c r="D120" s="300"/>
      <c r="E120" s="300">
        <v>1</v>
      </c>
      <c r="F120" s="300"/>
      <c r="G120" s="300"/>
      <c r="H120" s="353">
        <v>550</v>
      </c>
    </row>
    <row r="121" spans="1:8" s="73" customFormat="1" ht="15" customHeight="1">
      <c r="A121" s="532"/>
      <c r="B121" s="542"/>
      <c r="C121" s="300">
        <v>1</v>
      </c>
      <c r="D121" s="300"/>
      <c r="E121" s="300"/>
      <c r="F121" s="300"/>
      <c r="G121" s="300"/>
      <c r="H121" s="353">
        <v>475</v>
      </c>
    </row>
    <row r="122" spans="1:8" s="73" customFormat="1" ht="15" customHeight="1">
      <c r="A122" s="532"/>
      <c r="B122" s="542"/>
      <c r="C122" s="300">
        <v>1</v>
      </c>
      <c r="D122" s="300"/>
      <c r="E122" s="300"/>
      <c r="F122" s="300"/>
      <c r="G122" s="300">
        <v>1</v>
      </c>
      <c r="H122" s="353">
        <v>1600</v>
      </c>
    </row>
    <row r="123" spans="1:8" s="73" customFormat="1" ht="15" customHeight="1">
      <c r="A123" s="532"/>
      <c r="B123" s="542"/>
      <c r="C123" s="300">
        <v>1</v>
      </c>
      <c r="D123" s="300"/>
      <c r="E123" s="300"/>
      <c r="F123" s="300"/>
      <c r="G123" s="300"/>
      <c r="H123" s="353">
        <v>160</v>
      </c>
    </row>
    <row r="124" spans="1:8" s="73" customFormat="1" ht="15" customHeight="1">
      <c r="A124" s="532"/>
      <c r="B124" s="542"/>
      <c r="C124" s="300">
        <v>1</v>
      </c>
      <c r="D124" s="300"/>
      <c r="E124" s="300"/>
      <c r="F124" s="300"/>
      <c r="G124" s="300"/>
      <c r="H124" s="353">
        <v>450</v>
      </c>
    </row>
    <row r="125" spans="1:8" s="73" customFormat="1" ht="15" customHeight="1">
      <c r="A125" s="532"/>
      <c r="B125" s="542"/>
      <c r="C125" s="300">
        <v>1</v>
      </c>
      <c r="D125" s="300">
        <v>1</v>
      </c>
      <c r="E125" s="300"/>
      <c r="F125" s="300">
        <v>1</v>
      </c>
      <c r="G125" s="300"/>
      <c r="H125" s="353">
        <f>201.1+750+250*7+353.2</f>
        <v>3054.2999999999997</v>
      </c>
    </row>
    <row r="126" spans="1:8" s="73" customFormat="1" ht="15" customHeight="1">
      <c r="A126" s="532"/>
      <c r="B126" s="542"/>
      <c r="C126" s="300">
        <v>1</v>
      </c>
      <c r="D126" s="300"/>
      <c r="E126" s="300"/>
      <c r="F126" s="300"/>
      <c r="G126" s="300"/>
      <c r="H126" s="353">
        <f>250*5+700</f>
        <v>1950</v>
      </c>
    </row>
    <row r="127" spans="1:8" s="73" customFormat="1" ht="15" customHeight="1">
      <c r="A127" s="532"/>
      <c r="B127" s="542"/>
      <c r="C127" s="300">
        <v>1</v>
      </c>
      <c r="D127" s="300"/>
      <c r="E127" s="300"/>
      <c r="F127" s="300"/>
      <c r="G127" s="300"/>
      <c r="H127" s="353">
        <v>353.2</v>
      </c>
    </row>
    <row r="128" spans="1:8" s="73" customFormat="1" ht="15" customHeight="1">
      <c r="A128" s="532"/>
      <c r="B128" s="542"/>
      <c r="C128" s="300">
        <v>1</v>
      </c>
      <c r="D128" s="300"/>
      <c r="E128" s="300"/>
      <c r="F128" s="300"/>
      <c r="G128" s="300"/>
      <c r="H128" s="353">
        <v>353.2</v>
      </c>
    </row>
    <row r="129" spans="1:8" s="73" customFormat="1" ht="15" customHeight="1">
      <c r="A129" s="532"/>
      <c r="B129" s="542"/>
      <c r="C129" s="300">
        <v>1</v>
      </c>
      <c r="D129" s="300"/>
      <c r="E129" s="300"/>
      <c r="F129" s="300"/>
      <c r="G129" s="300"/>
      <c r="H129" s="353">
        <v>300</v>
      </c>
    </row>
    <row r="130" spans="1:8" s="73" customFormat="1" ht="15" customHeight="1">
      <c r="A130" s="532"/>
      <c r="B130" s="542"/>
      <c r="C130" s="300">
        <v>1</v>
      </c>
      <c r="D130" s="300"/>
      <c r="E130" s="300">
        <v>1</v>
      </c>
      <c r="F130" s="300"/>
      <c r="G130" s="300">
        <v>1</v>
      </c>
      <c r="H130" s="353">
        <v>425</v>
      </c>
    </row>
    <row r="131" spans="1:8" s="73" customFormat="1" ht="15" customHeight="1">
      <c r="A131" s="532"/>
      <c r="B131" s="542"/>
      <c r="C131" s="300">
        <v>1</v>
      </c>
      <c r="D131" s="300"/>
      <c r="E131" s="300"/>
      <c r="F131" s="300"/>
      <c r="G131" s="300"/>
      <c r="H131" s="353">
        <v>900</v>
      </c>
    </row>
    <row r="132" spans="1:8" s="73" customFormat="1" ht="15" customHeight="1">
      <c r="A132" s="532"/>
      <c r="B132" s="542"/>
      <c r="C132" s="300">
        <v>1</v>
      </c>
      <c r="D132" s="300"/>
      <c r="E132" s="300"/>
      <c r="F132" s="300"/>
      <c r="G132" s="300"/>
      <c r="H132" s="353">
        <f>4320+720*5</f>
        <v>7920</v>
      </c>
    </row>
    <row r="133" spans="1:8" s="73" customFormat="1" ht="15" customHeight="1">
      <c r="A133" s="532"/>
      <c r="B133" s="542"/>
      <c r="C133" s="300">
        <v>1</v>
      </c>
      <c r="D133" s="300"/>
      <c r="E133" s="300">
        <v>1</v>
      </c>
      <c r="F133" s="300"/>
      <c r="G133" s="300">
        <v>1</v>
      </c>
      <c r="H133" s="353">
        <f>231*6+120*3</f>
        <v>1746</v>
      </c>
    </row>
    <row r="134" spans="1:8" s="73" customFormat="1" ht="15" customHeight="1">
      <c r="A134" s="532"/>
      <c r="B134" s="542"/>
      <c r="C134" s="300">
        <v>1</v>
      </c>
      <c r="D134" s="300">
        <v>1</v>
      </c>
      <c r="E134" s="300"/>
      <c r="F134" s="300">
        <v>1</v>
      </c>
      <c r="G134" s="300"/>
      <c r="H134" s="353">
        <v>300</v>
      </c>
    </row>
    <row r="135" spans="1:8" s="73" customFormat="1" ht="15" customHeight="1">
      <c r="A135" s="532"/>
      <c r="B135" s="542"/>
      <c r="C135" s="300">
        <v>1</v>
      </c>
      <c r="D135" s="300"/>
      <c r="E135" s="300"/>
      <c r="F135" s="300"/>
      <c r="G135" s="300">
        <v>1</v>
      </c>
      <c r="H135" s="353">
        <v>600</v>
      </c>
    </row>
    <row r="136" spans="1:8" s="73" customFormat="1" ht="15" customHeight="1">
      <c r="A136" s="532"/>
      <c r="B136" s="542"/>
      <c r="C136" s="300">
        <v>1</v>
      </c>
      <c r="D136" s="300"/>
      <c r="E136" s="300"/>
      <c r="F136" s="300"/>
      <c r="G136" s="300"/>
      <c r="H136" s="353">
        <v>55</v>
      </c>
    </row>
    <row r="137" spans="1:8" s="73" customFormat="1" ht="15" customHeight="1">
      <c r="A137" s="532"/>
      <c r="B137" s="542"/>
      <c r="C137" s="300">
        <v>1</v>
      </c>
      <c r="D137" s="300"/>
      <c r="E137" s="300"/>
      <c r="F137" s="300"/>
      <c r="G137" s="300"/>
      <c r="H137" s="353">
        <v>600</v>
      </c>
    </row>
    <row r="138" spans="1:8" s="73" customFormat="1" ht="15" customHeight="1">
      <c r="A138" s="532"/>
      <c r="B138" s="542"/>
      <c r="C138" s="300">
        <v>1</v>
      </c>
      <c r="D138" s="300">
        <v>1</v>
      </c>
      <c r="E138" s="300"/>
      <c r="F138" s="300">
        <v>1</v>
      </c>
      <c r="G138" s="300"/>
      <c r="H138" s="353">
        <v>69</v>
      </c>
    </row>
    <row r="139" spans="1:8" s="73" customFormat="1" ht="15" customHeight="1">
      <c r="A139" s="532"/>
      <c r="B139" s="542"/>
      <c r="C139" s="300">
        <v>1</v>
      </c>
      <c r="D139" s="300"/>
      <c r="E139" s="300"/>
      <c r="F139" s="300"/>
      <c r="G139" s="300"/>
      <c r="H139" s="353">
        <v>1200</v>
      </c>
    </row>
    <row r="140" spans="1:8" s="73" customFormat="1" ht="15" customHeight="1">
      <c r="A140" s="532"/>
      <c r="B140" s="542"/>
      <c r="C140" s="300">
        <v>1</v>
      </c>
      <c r="D140" s="300"/>
      <c r="E140" s="300"/>
      <c r="F140" s="300"/>
      <c r="G140" s="300"/>
      <c r="H140" s="353">
        <v>300</v>
      </c>
    </row>
    <row r="141" spans="1:8" s="73" customFormat="1" ht="15" customHeight="1">
      <c r="A141" s="532"/>
      <c r="B141" s="542"/>
      <c r="C141" s="300">
        <v>1</v>
      </c>
      <c r="D141" s="300"/>
      <c r="E141" s="300">
        <v>1</v>
      </c>
      <c r="F141" s="300">
        <v>1</v>
      </c>
      <c r="G141" s="300"/>
      <c r="H141" s="353">
        <v>580</v>
      </c>
    </row>
    <row r="142" spans="1:8" s="73" customFormat="1" ht="15" customHeight="1">
      <c r="A142" s="532"/>
      <c r="B142" s="542"/>
      <c r="C142" s="300">
        <v>1</v>
      </c>
      <c r="D142" s="300"/>
      <c r="E142" s="300"/>
      <c r="F142" s="300"/>
      <c r="G142" s="300"/>
      <c r="H142" s="353">
        <v>200</v>
      </c>
    </row>
    <row r="143" spans="1:8" s="73" customFormat="1" ht="15" customHeight="1">
      <c r="A143" s="532"/>
      <c r="B143" s="542"/>
      <c r="C143" s="300">
        <v>1</v>
      </c>
      <c r="D143" s="300">
        <v>1</v>
      </c>
      <c r="E143" s="300"/>
      <c r="F143" s="300">
        <v>1</v>
      </c>
      <c r="G143" s="300"/>
      <c r="H143" s="353">
        <v>265</v>
      </c>
    </row>
    <row r="144" spans="1:8" s="73" customFormat="1" ht="15" customHeight="1">
      <c r="A144" s="367"/>
      <c r="B144" s="368"/>
      <c r="C144" s="300"/>
      <c r="D144" s="300"/>
      <c r="E144" s="300"/>
      <c r="F144" s="300"/>
      <c r="G144" s="300"/>
      <c r="H144" s="369">
        <f>SUM(H30:H143)</f>
        <v>91074.99999999999</v>
      </c>
    </row>
    <row r="145" spans="1:8" s="73" customFormat="1" ht="15" customHeight="1">
      <c r="A145" s="370" t="s">
        <v>240</v>
      </c>
      <c r="B145" s="370" t="s">
        <v>105</v>
      </c>
      <c r="C145" s="371"/>
      <c r="D145" s="371"/>
      <c r="E145" s="371"/>
      <c r="F145" s="371"/>
      <c r="G145" s="371"/>
      <c r="H145" s="372">
        <v>12522</v>
      </c>
    </row>
    <row r="146" spans="1:8" s="73" customFormat="1" ht="15" customHeight="1">
      <c r="A146" s="370" t="s">
        <v>240</v>
      </c>
      <c r="B146" s="370" t="s">
        <v>152</v>
      </c>
      <c r="C146" s="371"/>
      <c r="D146" s="371"/>
      <c r="E146" s="371"/>
      <c r="F146" s="371"/>
      <c r="G146" s="371"/>
      <c r="H146" s="372">
        <f>1906+2413</f>
        <v>4319</v>
      </c>
    </row>
    <row r="147" spans="1:10" s="73" customFormat="1" ht="15" customHeight="1">
      <c r="A147" s="370" t="s">
        <v>205</v>
      </c>
      <c r="B147" s="370" t="s">
        <v>206</v>
      </c>
      <c r="C147" s="371"/>
      <c r="D147" s="371"/>
      <c r="E147" s="371"/>
      <c r="F147" s="371"/>
      <c r="G147" s="371"/>
      <c r="H147" s="372">
        <f>360.52+1427.59+124.56+53.95-46.62-85.36-12.18+76.76+270.49+24.57</f>
        <v>2194.28</v>
      </c>
      <c r="I147" s="223"/>
      <c r="J147" s="223"/>
    </row>
    <row r="148" spans="1:8" s="161" customFormat="1" ht="15" customHeight="1">
      <c r="A148" s="210" t="s">
        <v>204</v>
      </c>
      <c r="B148" s="248"/>
      <c r="C148" s="121">
        <f>SUM(C30:C143)</f>
        <v>114</v>
      </c>
      <c r="D148" s="121"/>
      <c r="E148" s="121"/>
      <c r="F148" s="121"/>
      <c r="G148" s="121"/>
      <c r="H148" s="147">
        <f>SUM(H144:H147)</f>
        <v>110110.27999999998</v>
      </c>
    </row>
    <row r="149" spans="1:8" s="51" customFormat="1" ht="15" customHeight="1">
      <c r="A149" s="28" t="s">
        <v>27</v>
      </c>
      <c r="B149" s="58"/>
      <c r="C149" s="29"/>
      <c r="D149" s="29"/>
      <c r="E149" s="29"/>
      <c r="F149" s="29"/>
      <c r="G149" s="29"/>
      <c r="H149" s="356"/>
    </row>
    <row r="150" spans="1:8" s="73" customFormat="1" ht="15" customHeight="1">
      <c r="A150" s="532"/>
      <c r="B150" s="532"/>
      <c r="C150" s="300">
        <v>1</v>
      </c>
      <c r="D150" s="300"/>
      <c r="E150" s="300"/>
      <c r="F150" s="300">
        <v>1</v>
      </c>
      <c r="G150" s="300"/>
      <c r="H150" s="353">
        <f>200+50+80</f>
        <v>330</v>
      </c>
    </row>
    <row r="151" spans="1:8" s="73" customFormat="1" ht="15" customHeight="1">
      <c r="A151" s="532"/>
      <c r="B151" s="532"/>
      <c r="C151" s="300">
        <v>1</v>
      </c>
      <c r="D151" s="300"/>
      <c r="E151" s="300"/>
      <c r="F151" s="300"/>
      <c r="G151" s="300"/>
      <c r="H151" s="353">
        <v>800</v>
      </c>
    </row>
    <row r="152" spans="1:8" s="73" customFormat="1" ht="15" customHeight="1">
      <c r="A152" s="532"/>
      <c r="B152" s="532"/>
      <c r="C152" s="300">
        <v>1</v>
      </c>
      <c r="D152" s="300"/>
      <c r="E152" s="300"/>
      <c r="F152" s="300"/>
      <c r="G152" s="300"/>
      <c r="H152" s="353">
        <v>82</v>
      </c>
    </row>
    <row r="153" spans="1:8" s="73" customFormat="1" ht="15" customHeight="1">
      <c r="A153" s="532"/>
      <c r="B153" s="532"/>
      <c r="C153" s="300">
        <v>1</v>
      </c>
      <c r="D153" s="300"/>
      <c r="E153" s="300"/>
      <c r="F153" s="300"/>
      <c r="G153" s="300"/>
      <c r="H153" s="353">
        <v>800</v>
      </c>
    </row>
    <row r="154" spans="1:8" s="73" customFormat="1" ht="15" customHeight="1">
      <c r="A154" s="532"/>
      <c r="B154" s="532"/>
      <c r="C154" s="300">
        <v>1</v>
      </c>
      <c r="D154" s="300"/>
      <c r="E154" s="300"/>
      <c r="F154" s="300"/>
      <c r="G154" s="300"/>
      <c r="H154" s="353">
        <v>140</v>
      </c>
    </row>
    <row r="155" spans="1:8" s="73" customFormat="1" ht="15" customHeight="1">
      <c r="A155" s="532"/>
      <c r="B155" s="532"/>
      <c r="C155" s="300">
        <v>1</v>
      </c>
      <c r="D155" s="300"/>
      <c r="E155" s="300"/>
      <c r="F155" s="300"/>
      <c r="G155" s="300"/>
      <c r="H155" s="353">
        <f>130+120</f>
        <v>250</v>
      </c>
    </row>
    <row r="156" spans="1:8" s="73" customFormat="1" ht="15" customHeight="1">
      <c r="A156" s="532"/>
      <c r="B156" s="532"/>
      <c r="C156" s="300">
        <v>1</v>
      </c>
      <c r="D156" s="300"/>
      <c r="E156" s="300"/>
      <c r="F156" s="300"/>
      <c r="G156" s="300"/>
      <c r="H156" s="353">
        <v>250</v>
      </c>
    </row>
    <row r="157" spans="1:8" s="73" customFormat="1" ht="15" customHeight="1">
      <c r="A157" s="532"/>
      <c r="B157" s="532"/>
      <c r="C157" s="300">
        <v>1</v>
      </c>
      <c r="D157" s="300"/>
      <c r="E157" s="300"/>
      <c r="F157" s="300"/>
      <c r="G157" s="300"/>
      <c r="H157" s="353">
        <v>280</v>
      </c>
    </row>
    <row r="158" spans="1:8" s="73" customFormat="1" ht="15" customHeight="1">
      <c r="A158" s="532"/>
      <c r="B158" s="532"/>
      <c r="C158" s="300">
        <v>1</v>
      </c>
      <c r="D158" s="300"/>
      <c r="E158" s="300"/>
      <c r="F158" s="300"/>
      <c r="G158" s="300"/>
      <c r="H158" s="353">
        <v>133</v>
      </c>
    </row>
    <row r="159" spans="1:8" s="73" customFormat="1" ht="15" customHeight="1">
      <c r="A159" s="532"/>
      <c r="B159" s="532"/>
      <c r="C159" s="300">
        <v>1</v>
      </c>
      <c r="D159" s="300"/>
      <c r="E159" s="300"/>
      <c r="F159" s="300"/>
      <c r="G159" s="300"/>
      <c r="H159" s="353">
        <v>72</v>
      </c>
    </row>
    <row r="160" spans="1:8" s="73" customFormat="1" ht="14.25" customHeight="1">
      <c r="A160" s="532"/>
      <c r="B160" s="532"/>
      <c r="C160" s="300">
        <v>1</v>
      </c>
      <c r="D160" s="300"/>
      <c r="E160" s="300"/>
      <c r="F160" s="300"/>
      <c r="G160" s="300">
        <v>1</v>
      </c>
      <c r="H160" s="353">
        <v>200</v>
      </c>
    </row>
    <row r="161" spans="1:9" s="73" customFormat="1" ht="15" customHeight="1">
      <c r="A161" s="532"/>
      <c r="B161" s="532"/>
      <c r="C161" s="300">
        <v>1</v>
      </c>
      <c r="D161" s="300"/>
      <c r="E161" s="300"/>
      <c r="F161" s="300"/>
      <c r="G161" s="300"/>
      <c r="H161" s="353">
        <v>100</v>
      </c>
      <c r="I161" s="223"/>
    </row>
    <row r="162" spans="1:8" s="73" customFormat="1" ht="15" customHeight="1">
      <c r="A162" s="532"/>
      <c r="B162" s="532"/>
      <c r="C162" s="300">
        <v>1</v>
      </c>
      <c r="D162" s="300"/>
      <c r="E162" s="300"/>
      <c r="F162" s="300"/>
      <c r="G162" s="300"/>
      <c r="H162" s="353">
        <v>260</v>
      </c>
    </row>
    <row r="163" spans="1:8" s="73" customFormat="1" ht="15" customHeight="1">
      <c r="A163" s="532"/>
      <c r="B163" s="532"/>
      <c r="C163" s="300">
        <v>1</v>
      </c>
      <c r="D163" s="300"/>
      <c r="E163" s="300"/>
      <c r="F163" s="300"/>
      <c r="G163" s="300"/>
      <c r="H163" s="353">
        <v>100</v>
      </c>
    </row>
    <row r="164" spans="1:8" s="73" customFormat="1" ht="15" customHeight="1">
      <c r="A164" s="532"/>
      <c r="B164" s="532"/>
      <c r="C164" s="300">
        <v>1</v>
      </c>
      <c r="D164" s="300"/>
      <c r="E164" s="300"/>
      <c r="F164" s="300"/>
      <c r="G164" s="300"/>
      <c r="H164" s="353">
        <v>620</v>
      </c>
    </row>
    <row r="165" spans="1:8" s="73" customFormat="1" ht="15" customHeight="1">
      <c r="A165" s="532"/>
      <c r="B165" s="532"/>
      <c r="C165" s="300">
        <v>1</v>
      </c>
      <c r="D165" s="300"/>
      <c r="E165" s="300"/>
      <c r="F165" s="300"/>
      <c r="G165" s="300"/>
      <c r="H165" s="353">
        <v>150</v>
      </c>
    </row>
    <row r="166" spans="1:8" s="73" customFormat="1" ht="15" customHeight="1">
      <c r="A166" s="532"/>
      <c r="B166" s="532"/>
      <c r="C166" s="300">
        <v>1</v>
      </c>
      <c r="D166" s="300"/>
      <c r="E166" s="300"/>
      <c r="F166" s="300"/>
      <c r="G166" s="300">
        <v>1</v>
      </c>
      <c r="H166" s="353">
        <v>260</v>
      </c>
    </row>
    <row r="167" spans="1:8" s="73" customFormat="1" ht="15" customHeight="1">
      <c r="A167" s="532"/>
      <c r="B167" s="532"/>
      <c r="C167" s="300">
        <v>1</v>
      </c>
      <c r="D167" s="300"/>
      <c r="E167" s="300"/>
      <c r="F167" s="300"/>
      <c r="G167" s="300"/>
      <c r="H167" s="353">
        <v>100</v>
      </c>
    </row>
    <row r="168" spans="1:8" s="73" customFormat="1" ht="15" customHeight="1">
      <c r="A168" s="532"/>
      <c r="B168" s="532"/>
      <c r="C168" s="300">
        <v>1</v>
      </c>
      <c r="D168" s="300"/>
      <c r="E168" s="300"/>
      <c r="F168" s="300"/>
      <c r="G168" s="300"/>
      <c r="H168" s="353">
        <v>250</v>
      </c>
    </row>
    <row r="169" spans="1:8" s="161" customFormat="1" ht="15" customHeight="1">
      <c r="A169" s="75" t="s">
        <v>188</v>
      </c>
      <c r="B169" s="85"/>
      <c r="C169" s="112">
        <f>SUM(C150:C168)</f>
        <v>19</v>
      </c>
      <c r="D169" s="112">
        <f>SUM(D153)</f>
        <v>0</v>
      </c>
      <c r="E169" s="112">
        <f>SUM(C169:D169)</f>
        <v>19</v>
      </c>
      <c r="F169" s="112">
        <f>SUM(F153)</f>
        <v>0</v>
      </c>
      <c r="G169" s="113"/>
      <c r="H169" s="147">
        <f>SUM(H150:H168)</f>
        <v>5177</v>
      </c>
    </row>
    <row r="170" spans="1:8" s="51" customFormat="1" ht="15" customHeight="1">
      <c r="A170" s="28" t="s">
        <v>28</v>
      </c>
      <c r="B170" s="58"/>
      <c r="C170" s="29"/>
      <c r="D170" s="29"/>
      <c r="E170" s="29"/>
      <c r="F170" s="29"/>
      <c r="G170" s="29"/>
      <c r="H170" s="356"/>
    </row>
    <row r="171" spans="1:8" s="73" customFormat="1" ht="15" customHeight="1">
      <c r="A171" s="350" t="s">
        <v>368</v>
      </c>
      <c r="B171" s="317"/>
      <c r="C171" s="351"/>
      <c r="D171" s="352"/>
      <c r="E171" s="353">
        <v>3464</v>
      </c>
      <c r="F171" s="366"/>
      <c r="G171" s="366"/>
      <c r="H171" s="355">
        <v>10332</v>
      </c>
    </row>
    <row r="172" spans="1:8" s="73" customFormat="1" ht="15" customHeight="1">
      <c r="A172" s="532"/>
      <c r="B172" s="532"/>
      <c r="C172" s="300">
        <v>1</v>
      </c>
      <c r="D172" s="300"/>
      <c r="E172" s="300"/>
      <c r="F172" s="300"/>
      <c r="G172" s="300">
        <v>1</v>
      </c>
      <c r="H172" s="353">
        <v>400</v>
      </c>
    </row>
    <row r="173" spans="1:8" s="73" customFormat="1" ht="15" customHeight="1">
      <c r="A173" s="532"/>
      <c r="B173" s="532"/>
      <c r="C173" s="300">
        <v>1</v>
      </c>
      <c r="D173" s="300"/>
      <c r="E173" s="300"/>
      <c r="F173" s="300"/>
      <c r="G173" s="300">
        <v>1</v>
      </c>
      <c r="H173" s="353">
        <v>75</v>
      </c>
    </row>
    <row r="174" spans="1:8" s="73" customFormat="1" ht="15" customHeight="1">
      <c r="A174" s="532"/>
      <c r="B174" s="532"/>
      <c r="C174" s="300">
        <v>1</v>
      </c>
      <c r="D174" s="300"/>
      <c r="E174" s="300"/>
      <c r="F174" s="300"/>
      <c r="G174" s="300">
        <v>1</v>
      </c>
      <c r="H174" s="353">
        <v>2250</v>
      </c>
    </row>
    <row r="175" spans="1:8" s="73" customFormat="1" ht="15" customHeight="1">
      <c r="A175" s="532"/>
      <c r="B175" s="532"/>
      <c r="C175" s="300">
        <v>1</v>
      </c>
      <c r="D175" s="300"/>
      <c r="E175" s="300"/>
      <c r="F175" s="300"/>
      <c r="G175" s="300">
        <v>1</v>
      </c>
      <c r="H175" s="353">
        <v>1070</v>
      </c>
    </row>
    <row r="176" spans="1:8" s="73" customFormat="1" ht="15" customHeight="1">
      <c r="A176" s="532"/>
      <c r="B176" s="532"/>
      <c r="C176" s="300">
        <v>1</v>
      </c>
      <c r="D176" s="300"/>
      <c r="E176" s="300"/>
      <c r="F176" s="300"/>
      <c r="G176" s="300">
        <v>1</v>
      </c>
      <c r="H176" s="353">
        <v>850</v>
      </c>
    </row>
    <row r="177" spans="1:8" s="73" customFormat="1" ht="15" customHeight="1">
      <c r="A177" s="532"/>
      <c r="B177" s="532"/>
      <c r="C177" s="300">
        <v>1</v>
      </c>
      <c r="D177" s="300"/>
      <c r="E177" s="300"/>
      <c r="F177" s="300"/>
      <c r="G177" s="300"/>
      <c r="H177" s="353">
        <v>600</v>
      </c>
    </row>
    <row r="178" spans="1:8" s="73" customFormat="1" ht="15" customHeight="1">
      <c r="A178" s="532"/>
      <c r="B178" s="532"/>
      <c r="C178" s="300">
        <v>1</v>
      </c>
      <c r="D178" s="300"/>
      <c r="E178" s="300"/>
      <c r="F178" s="300"/>
      <c r="G178" s="300">
        <v>1</v>
      </c>
      <c r="H178" s="353">
        <v>3050</v>
      </c>
    </row>
    <row r="179" spans="1:8" s="73" customFormat="1" ht="15" customHeight="1">
      <c r="A179" s="532"/>
      <c r="B179" s="532"/>
      <c r="C179" s="300">
        <v>1</v>
      </c>
      <c r="D179" s="300"/>
      <c r="E179" s="300"/>
      <c r="F179" s="300">
        <v>1</v>
      </c>
      <c r="G179" s="300"/>
      <c r="H179" s="353">
        <v>1650</v>
      </c>
    </row>
    <row r="180" spans="1:8" s="73" customFormat="1" ht="15" customHeight="1">
      <c r="A180" s="532"/>
      <c r="B180" s="532"/>
      <c r="C180" s="300">
        <v>1</v>
      </c>
      <c r="D180" s="300"/>
      <c r="E180" s="300"/>
      <c r="F180" s="300"/>
      <c r="G180" s="300">
        <v>1</v>
      </c>
      <c r="H180" s="353">
        <v>890</v>
      </c>
    </row>
    <row r="181" spans="1:8" s="73" customFormat="1" ht="15" customHeight="1">
      <c r="A181" s="532"/>
      <c r="B181" s="532"/>
      <c r="C181" s="300">
        <v>1</v>
      </c>
      <c r="D181" s="300"/>
      <c r="E181" s="300"/>
      <c r="F181" s="300"/>
      <c r="G181" s="300">
        <v>1</v>
      </c>
      <c r="H181" s="353">
        <v>1070</v>
      </c>
    </row>
    <row r="182" spans="1:8" s="73" customFormat="1" ht="15" customHeight="1">
      <c r="A182" s="532"/>
      <c r="B182" s="532"/>
      <c r="C182" s="300">
        <v>1</v>
      </c>
      <c r="D182" s="300"/>
      <c r="E182" s="300">
        <v>1</v>
      </c>
      <c r="F182" s="300"/>
      <c r="G182" s="300">
        <v>1</v>
      </c>
      <c r="H182" s="353">
        <v>5000</v>
      </c>
    </row>
    <row r="183" spans="1:8" s="73" customFormat="1" ht="15" customHeight="1">
      <c r="A183" s="532"/>
      <c r="B183" s="532"/>
      <c r="C183" s="300">
        <v>1</v>
      </c>
      <c r="D183" s="300">
        <v>1</v>
      </c>
      <c r="E183" s="300"/>
      <c r="F183" s="300"/>
      <c r="G183" s="300">
        <v>1</v>
      </c>
      <c r="H183" s="353">
        <v>400</v>
      </c>
    </row>
    <row r="184" spans="1:8" s="73" customFormat="1" ht="15" customHeight="1">
      <c r="A184" s="532"/>
      <c r="B184" s="532"/>
      <c r="C184" s="300">
        <v>1</v>
      </c>
      <c r="D184" s="300">
        <v>1</v>
      </c>
      <c r="E184" s="300"/>
      <c r="F184" s="300"/>
      <c r="G184" s="300"/>
      <c r="H184" s="353">
        <v>1200</v>
      </c>
    </row>
    <row r="185" spans="1:8" s="73" customFormat="1" ht="15" customHeight="1">
      <c r="A185" s="532"/>
      <c r="B185" s="532"/>
      <c r="C185" s="300">
        <v>1</v>
      </c>
      <c r="D185" s="300"/>
      <c r="E185" s="300">
        <v>1</v>
      </c>
      <c r="F185" s="300">
        <v>1</v>
      </c>
      <c r="G185" s="300"/>
      <c r="H185" s="353">
        <v>3550</v>
      </c>
    </row>
    <row r="186" spans="1:8" s="73" customFormat="1" ht="15" customHeight="1">
      <c r="A186" s="532"/>
      <c r="B186" s="532"/>
      <c r="C186" s="300">
        <v>1</v>
      </c>
      <c r="D186" s="300"/>
      <c r="E186" s="300"/>
      <c r="F186" s="300"/>
      <c r="G186" s="300">
        <v>1</v>
      </c>
      <c r="H186" s="353">
        <v>800</v>
      </c>
    </row>
    <row r="187" spans="1:8" s="73" customFormat="1" ht="15" customHeight="1">
      <c r="A187" s="532"/>
      <c r="B187" s="532"/>
      <c r="C187" s="300">
        <v>1</v>
      </c>
      <c r="D187" s="300">
        <v>1</v>
      </c>
      <c r="E187" s="300"/>
      <c r="F187" s="300"/>
      <c r="G187" s="300">
        <v>1</v>
      </c>
      <c r="H187" s="353">
        <v>2700</v>
      </c>
    </row>
    <row r="188" spans="1:8" s="73" customFormat="1" ht="15" customHeight="1">
      <c r="A188" s="532"/>
      <c r="B188" s="532"/>
      <c r="C188" s="300">
        <v>1</v>
      </c>
      <c r="D188" s="300"/>
      <c r="E188" s="300">
        <v>1</v>
      </c>
      <c r="F188" s="300"/>
      <c r="G188" s="300">
        <v>1</v>
      </c>
      <c r="H188" s="353">
        <v>1800</v>
      </c>
    </row>
    <row r="189" spans="1:8" s="73" customFormat="1" ht="15" customHeight="1">
      <c r="A189" s="532"/>
      <c r="B189" s="532"/>
      <c r="C189" s="300">
        <v>1</v>
      </c>
      <c r="D189" s="300"/>
      <c r="E189" s="300"/>
      <c r="F189" s="300"/>
      <c r="G189" s="300">
        <v>1</v>
      </c>
      <c r="H189" s="353">
        <v>371</v>
      </c>
    </row>
    <row r="190" spans="1:8" s="73" customFormat="1" ht="15" customHeight="1">
      <c r="A190" s="532"/>
      <c r="B190" s="532"/>
      <c r="C190" s="300">
        <v>1</v>
      </c>
      <c r="D190" s="300"/>
      <c r="E190" s="300"/>
      <c r="F190" s="300"/>
      <c r="G190" s="300"/>
      <c r="H190" s="353">
        <v>320</v>
      </c>
    </row>
    <row r="191" spans="1:8" s="73" customFormat="1" ht="15" customHeight="1">
      <c r="A191" s="532"/>
      <c r="B191" s="532"/>
      <c r="C191" s="300">
        <v>1</v>
      </c>
      <c r="D191" s="300"/>
      <c r="E191" s="300"/>
      <c r="F191" s="300"/>
      <c r="G191" s="300"/>
      <c r="H191" s="353">
        <v>1630</v>
      </c>
    </row>
    <row r="192" spans="1:8" s="73" customFormat="1" ht="15" customHeight="1">
      <c r="A192" s="532"/>
      <c r="B192" s="532"/>
      <c r="C192" s="300">
        <v>1</v>
      </c>
      <c r="D192" s="300"/>
      <c r="E192" s="300">
        <v>1</v>
      </c>
      <c r="F192" s="300"/>
      <c r="G192" s="300">
        <v>1</v>
      </c>
      <c r="H192" s="353">
        <v>750</v>
      </c>
    </row>
    <row r="193" spans="1:8" s="73" customFormat="1" ht="15" customHeight="1">
      <c r="A193" s="532"/>
      <c r="B193" s="532"/>
      <c r="C193" s="300">
        <v>1</v>
      </c>
      <c r="D193" s="300"/>
      <c r="E193" s="300"/>
      <c r="F193" s="300"/>
      <c r="G193" s="300"/>
      <c r="H193" s="353">
        <v>550</v>
      </c>
    </row>
    <row r="194" spans="1:8" s="73" customFormat="1" ht="15" customHeight="1">
      <c r="A194" s="532"/>
      <c r="B194" s="532"/>
      <c r="C194" s="300">
        <v>1</v>
      </c>
      <c r="D194" s="300"/>
      <c r="E194" s="300"/>
      <c r="F194" s="300"/>
      <c r="G194" s="300">
        <v>1</v>
      </c>
      <c r="H194" s="353">
        <v>1280</v>
      </c>
    </row>
    <row r="195" spans="1:8" s="73" customFormat="1" ht="15" customHeight="1">
      <c r="A195" s="532"/>
      <c r="B195" s="532"/>
      <c r="C195" s="300">
        <v>1</v>
      </c>
      <c r="D195" s="300"/>
      <c r="E195" s="300"/>
      <c r="F195" s="300"/>
      <c r="G195" s="300">
        <v>1</v>
      </c>
      <c r="H195" s="353">
        <v>950</v>
      </c>
    </row>
    <row r="196" spans="1:8" s="73" customFormat="1" ht="15" customHeight="1">
      <c r="A196" s="532"/>
      <c r="B196" s="532"/>
      <c r="C196" s="300">
        <v>1</v>
      </c>
      <c r="D196" s="300"/>
      <c r="E196" s="300"/>
      <c r="F196" s="300"/>
      <c r="G196" s="300">
        <v>1</v>
      </c>
      <c r="H196" s="353">
        <v>350</v>
      </c>
    </row>
    <row r="197" spans="1:8" s="73" customFormat="1" ht="15" customHeight="1">
      <c r="A197" s="532"/>
      <c r="B197" s="532"/>
      <c r="C197" s="300">
        <v>1</v>
      </c>
      <c r="D197" s="300">
        <v>1</v>
      </c>
      <c r="E197" s="300"/>
      <c r="F197" s="300">
        <v>1</v>
      </c>
      <c r="G197" s="300"/>
      <c r="H197" s="353">
        <v>183</v>
      </c>
    </row>
    <row r="198" spans="1:8" s="73" customFormat="1" ht="15" customHeight="1">
      <c r="A198" s="532"/>
      <c r="B198" s="532"/>
      <c r="C198" s="300">
        <v>1</v>
      </c>
      <c r="D198" s="300"/>
      <c r="E198" s="300"/>
      <c r="F198" s="300"/>
      <c r="G198" s="300"/>
      <c r="H198" s="353">
        <v>600</v>
      </c>
    </row>
    <row r="199" spans="1:8" s="73" customFormat="1" ht="15" customHeight="1">
      <c r="A199" s="532"/>
      <c r="B199" s="532"/>
      <c r="C199" s="300">
        <v>1</v>
      </c>
      <c r="D199" s="300"/>
      <c r="E199" s="300"/>
      <c r="F199" s="300"/>
      <c r="G199" s="300">
        <v>1</v>
      </c>
      <c r="H199" s="353">
        <v>150</v>
      </c>
    </row>
    <row r="200" spans="1:8" s="73" customFormat="1" ht="15" customHeight="1">
      <c r="A200" s="532"/>
      <c r="B200" s="532"/>
      <c r="C200" s="300">
        <v>1</v>
      </c>
      <c r="D200" s="300">
        <v>1</v>
      </c>
      <c r="E200" s="300"/>
      <c r="F200" s="300"/>
      <c r="G200" s="300">
        <v>1</v>
      </c>
      <c r="H200" s="353">
        <v>2450</v>
      </c>
    </row>
    <row r="201" spans="1:8" s="73" customFormat="1" ht="15" customHeight="1">
      <c r="A201" s="532"/>
      <c r="B201" s="532"/>
      <c r="C201" s="300">
        <v>1</v>
      </c>
      <c r="D201" s="300"/>
      <c r="E201" s="300">
        <v>1</v>
      </c>
      <c r="F201" s="300">
        <v>1</v>
      </c>
      <c r="G201" s="300"/>
      <c r="H201" s="353">
        <v>250</v>
      </c>
    </row>
    <row r="202" spans="1:8" s="73" customFormat="1" ht="15" customHeight="1">
      <c r="A202" s="532"/>
      <c r="B202" s="532"/>
      <c r="C202" s="300">
        <v>1</v>
      </c>
      <c r="D202" s="300"/>
      <c r="E202" s="300">
        <v>1</v>
      </c>
      <c r="F202" s="300"/>
      <c r="G202" s="300"/>
      <c r="H202" s="353">
        <v>2300</v>
      </c>
    </row>
    <row r="203" spans="1:8" s="73" customFormat="1" ht="15" customHeight="1">
      <c r="A203" s="532"/>
      <c r="B203" s="532"/>
      <c r="C203" s="300">
        <v>1</v>
      </c>
      <c r="D203" s="300"/>
      <c r="E203" s="300"/>
      <c r="F203" s="300"/>
      <c r="G203" s="300"/>
      <c r="H203" s="353">
        <v>500</v>
      </c>
    </row>
    <row r="204" spans="1:8" s="73" customFormat="1" ht="15" customHeight="1">
      <c r="A204" s="532"/>
      <c r="B204" s="532"/>
      <c r="C204" s="300">
        <v>1</v>
      </c>
      <c r="D204" s="300"/>
      <c r="E204" s="300"/>
      <c r="F204" s="300"/>
      <c r="G204" s="300"/>
      <c r="H204" s="353">
        <v>400</v>
      </c>
    </row>
    <row r="205" spans="1:8" s="73" customFormat="1" ht="15" customHeight="1">
      <c r="A205" s="532"/>
      <c r="B205" s="532"/>
      <c r="C205" s="300">
        <v>1</v>
      </c>
      <c r="D205" s="300"/>
      <c r="E205" s="300">
        <v>1</v>
      </c>
      <c r="F205" s="300"/>
      <c r="G205" s="300">
        <v>1</v>
      </c>
      <c r="H205" s="353">
        <v>1600</v>
      </c>
    </row>
    <row r="206" spans="1:8" s="161" customFormat="1" ht="15" customHeight="1">
      <c r="A206" s="75" t="s">
        <v>67</v>
      </c>
      <c r="B206" s="85"/>
      <c r="C206" s="112">
        <f>SUM(C172:C205)</f>
        <v>34</v>
      </c>
      <c r="D206" s="113"/>
      <c r="E206" s="113"/>
      <c r="F206" s="113"/>
      <c r="G206" s="113"/>
      <c r="H206" s="147">
        <f>SUM(H171:H205)</f>
        <v>52321</v>
      </c>
    </row>
    <row r="207" spans="1:8" s="253" customFormat="1" ht="15" customHeight="1">
      <c r="A207" s="28" t="s">
        <v>25</v>
      </c>
      <c r="B207" s="58"/>
      <c r="C207" s="29"/>
      <c r="D207" s="29"/>
      <c r="E207" s="29"/>
      <c r="F207" s="29"/>
      <c r="G207" s="29"/>
      <c r="H207" s="356"/>
    </row>
    <row r="208" spans="1:8" s="73" customFormat="1" ht="15" customHeight="1">
      <c r="A208" s="350" t="s">
        <v>368</v>
      </c>
      <c r="B208" s="317"/>
      <c r="C208" s="351"/>
      <c r="D208" s="352"/>
      <c r="E208" s="353">
        <v>3464</v>
      </c>
      <c r="F208" s="366"/>
      <c r="G208" s="366"/>
      <c r="H208" s="355">
        <v>900</v>
      </c>
    </row>
    <row r="209" spans="1:8" s="73" customFormat="1" ht="15" customHeight="1">
      <c r="A209" s="532"/>
      <c r="B209" s="532"/>
      <c r="C209" s="300">
        <v>1</v>
      </c>
      <c r="D209" s="300"/>
      <c r="E209" s="300">
        <v>1</v>
      </c>
      <c r="F209" s="300"/>
      <c r="G209" s="300">
        <v>1</v>
      </c>
      <c r="H209" s="353">
        <v>1000</v>
      </c>
    </row>
    <row r="210" spans="1:8" s="73" customFormat="1" ht="15" customHeight="1">
      <c r="A210" s="532"/>
      <c r="B210" s="532"/>
      <c r="C210" s="300">
        <v>1</v>
      </c>
      <c r="D210" s="300"/>
      <c r="E210" s="300">
        <v>1</v>
      </c>
      <c r="F210" s="300"/>
      <c r="G210" s="300">
        <v>1</v>
      </c>
      <c r="H210" s="353">
        <v>2410</v>
      </c>
    </row>
    <row r="211" spans="1:8" s="73" customFormat="1" ht="15" customHeight="1">
      <c r="A211" s="532"/>
      <c r="B211" s="532"/>
      <c r="C211" s="300">
        <v>1</v>
      </c>
      <c r="D211" s="300"/>
      <c r="E211" s="300">
        <v>1</v>
      </c>
      <c r="F211" s="300"/>
      <c r="G211" s="300">
        <v>1</v>
      </c>
      <c r="H211" s="353">
        <v>580</v>
      </c>
    </row>
    <row r="212" spans="1:8" s="73" customFormat="1" ht="15" customHeight="1">
      <c r="A212" s="532"/>
      <c r="B212" s="532"/>
      <c r="C212" s="300">
        <v>1</v>
      </c>
      <c r="D212" s="300"/>
      <c r="E212" s="300"/>
      <c r="F212" s="300"/>
      <c r="G212" s="300"/>
      <c r="H212" s="353">
        <v>450</v>
      </c>
    </row>
    <row r="213" spans="1:8" s="73" customFormat="1" ht="15" customHeight="1">
      <c r="A213" s="532"/>
      <c r="B213" s="532"/>
      <c r="C213" s="300">
        <v>1</v>
      </c>
      <c r="D213" s="300"/>
      <c r="E213" s="300"/>
      <c r="F213" s="300"/>
      <c r="G213" s="300"/>
      <c r="H213" s="353">
        <v>590</v>
      </c>
    </row>
    <row r="214" spans="1:8" s="73" customFormat="1" ht="15" customHeight="1">
      <c r="A214" s="532"/>
      <c r="B214" s="532"/>
      <c r="C214" s="300">
        <v>1</v>
      </c>
      <c r="D214" s="300"/>
      <c r="E214" s="300">
        <v>1</v>
      </c>
      <c r="F214" s="300">
        <v>1</v>
      </c>
      <c r="G214" s="300"/>
      <c r="H214" s="353">
        <v>900</v>
      </c>
    </row>
    <row r="215" spans="1:8" s="73" customFormat="1" ht="15" customHeight="1">
      <c r="A215" s="532"/>
      <c r="B215" s="532"/>
      <c r="C215" s="300">
        <v>1</v>
      </c>
      <c r="D215" s="300"/>
      <c r="E215" s="300"/>
      <c r="F215" s="300"/>
      <c r="G215" s="300"/>
      <c r="H215" s="353">
        <v>480</v>
      </c>
    </row>
    <row r="216" spans="1:8" s="73" customFormat="1" ht="15" customHeight="1">
      <c r="A216" s="532"/>
      <c r="B216" s="532"/>
      <c r="C216" s="300">
        <v>1</v>
      </c>
      <c r="D216" s="300"/>
      <c r="E216" s="300"/>
      <c r="F216" s="300"/>
      <c r="G216" s="300"/>
      <c r="H216" s="353">
        <v>3000</v>
      </c>
    </row>
    <row r="217" spans="1:8" s="73" customFormat="1" ht="15" customHeight="1">
      <c r="A217" s="532"/>
      <c r="B217" s="532"/>
      <c r="C217" s="300">
        <v>1</v>
      </c>
      <c r="D217" s="300"/>
      <c r="E217" s="300">
        <v>1</v>
      </c>
      <c r="F217" s="300">
        <v>1</v>
      </c>
      <c r="G217" s="300"/>
      <c r="H217" s="353">
        <v>1500</v>
      </c>
    </row>
    <row r="218" spans="1:8" s="73" customFormat="1" ht="15" customHeight="1">
      <c r="A218" s="532"/>
      <c r="B218" s="532"/>
      <c r="C218" s="300">
        <v>1</v>
      </c>
      <c r="D218" s="300">
        <v>1</v>
      </c>
      <c r="E218" s="300"/>
      <c r="F218" s="300">
        <v>1</v>
      </c>
      <c r="G218" s="300"/>
      <c r="H218" s="353">
        <v>270</v>
      </c>
    </row>
    <row r="219" spans="1:8" s="73" customFormat="1" ht="15" customHeight="1">
      <c r="A219" s="532"/>
      <c r="B219" s="532"/>
      <c r="C219" s="300">
        <v>1</v>
      </c>
      <c r="D219" s="300"/>
      <c r="E219" s="300"/>
      <c r="F219" s="300"/>
      <c r="G219" s="300"/>
      <c r="H219" s="353">
        <v>2100</v>
      </c>
    </row>
    <row r="220" spans="1:8" s="73" customFormat="1" ht="15" customHeight="1">
      <c r="A220" s="532"/>
      <c r="B220" s="532"/>
      <c r="C220" s="300">
        <v>1</v>
      </c>
      <c r="D220" s="300"/>
      <c r="E220" s="300"/>
      <c r="F220" s="300"/>
      <c r="G220" s="300"/>
      <c r="H220" s="353">
        <v>190</v>
      </c>
    </row>
    <row r="221" spans="1:8" s="73" customFormat="1" ht="15" customHeight="1">
      <c r="A221" s="532"/>
      <c r="B221" s="532"/>
      <c r="C221" s="300">
        <v>1</v>
      </c>
      <c r="D221" s="300"/>
      <c r="E221" s="300"/>
      <c r="F221" s="300"/>
      <c r="G221" s="300"/>
      <c r="H221" s="353">
        <f>1311.37+490.04</f>
        <v>1801.4099999999999</v>
      </c>
    </row>
    <row r="222" spans="1:8" s="73" customFormat="1" ht="15" customHeight="1">
      <c r="A222" s="532"/>
      <c r="B222" s="532"/>
      <c r="C222" s="300">
        <v>1</v>
      </c>
      <c r="D222" s="300"/>
      <c r="E222" s="300">
        <v>1</v>
      </c>
      <c r="F222" s="300">
        <v>1</v>
      </c>
      <c r="G222" s="300"/>
      <c r="H222" s="353">
        <v>1400</v>
      </c>
    </row>
    <row r="223" spans="1:8" s="73" customFormat="1" ht="15" customHeight="1">
      <c r="A223" s="532"/>
      <c r="B223" s="532"/>
      <c r="C223" s="300">
        <v>1</v>
      </c>
      <c r="D223" s="300"/>
      <c r="E223" s="300">
        <v>1</v>
      </c>
      <c r="F223" s="300">
        <v>1</v>
      </c>
      <c r="G223" s="300"/>
      <c r="H223" s="353">
        <v>1300</v>
      </c>
    </row>
    <row r="224" spans="1:8" s="73" customFormat="1" ht="15" customHeight="1">
      <c r="A224" s="532"/>
      <c r="B224" s="532"/>
      <c r="C224" s="300">
        <v>1</v>
      </c>
      <c r="D224" s="300"/>
      <c r="E224" s="300">
        <v>1</v>
      </c>
      <c r="F224" s="300">
        <v>1</v>
      </c>
      <c r="G224" s="300"/>
      <c r="H224" s="353">
        <v>1840</v>
      </c>
    </row>
    <row r="225" spans="1:8" s="73" customFormat="1" ht="15" customHeight="1">
      <c r="A225" s="541"/>
      <c r="B225" s="541"/>
      <c r="C225" s="300">
        <v>1</v>
      </c>
      <c r="D225" s="300">
        <v>1</v>
      </c>
      <c r="E225" s="300"/>
      <c r="F225" s="300">
        <v>1</v>
      </c>
      <c r="G225" s="300"/>
      <c r="H225" s="353">
        <v>300</v>
      </c>
    </row>
    <row r="226" spans="1:9" s="165" customFormat="1" ht="15" customHeight="1">
      <c r="A226" s="86" t="s">
        <v>174</v>
      </c>
      <c r="B226" s="110"/>
      <c r="C226" s="111">
        <f>SUM(C209:C225)</f>
        <v>17</v>
      </c>
      <c r="D226" s="111"/>
      <c r="E226" s="111"/>
      <c r="F226" s="111"/>
      <c r="G226" s="111"/>
      <c r="H226" s="147">
        <f>SUM(H208:H225)</f>
        <v>21011.41</v>
      </c>
      <c r="I226" s="166"/>
    </row>
    <row r="227" spans="1:8" s="51" customFormat="1" ht="15" customHeight="1">
      <c r="A227" s="77" t="s">
        <v>29</v>
      </c>
      <c r="B227" s="358"/>
      <c r="C227" s="29"/>
      <c r="D227" s="29"/>
      <c r="E227" s="29"/>
      <c r="F227" s="29"/>
      <c r="G227" s="29"/>
      <c r="H227" s="356"/>
    </row>
    <row r="228" spans="1:8" s="73" customFormat="1" ht="15" customHeight="1">
      <c r="A228" s="350" t="s">
        <v>368</v>
      </c>
      <c r="B228" s="317"/>
      <c r="C228" s="351"/>
      <c r="D228" s="352"/>
      <c r="E228" s="353">
        <v>3464</v>
      </c>
      <c r="F228" s="366"/>
      <c r="G228" s="366"/>
      <c r="H228" s="355">
        <v>2299</v>
      </c>
    </row>
    <row r="229" spans="1:8" s="73" customFormat="1" ht="15" customHeight="1">
      <c r="A229" s="532"/>
      <c r="B229" s="532"/>
      <c r="C229" s="300">
        <v>1</v>
      </c>
      <c r="D229" s="300"/>
      <c r="E229" s="300">
        <v>1</v>
      </c>
      <c r="F229" s="300">
        <v>1</v>
      </c>
      <c r="G229" s="300"/>
      <c r="H229" s="353">
        <v>1286</v>
      </c>
    </row>
    <row r="230" spans="1:8" s="73" customFormat="1" ht="15" customHeight="1">
      <c r="A230" s="532"/>
      <c r="B230" s="532"/>
      <c r="C230" s="300">
        <v>1</v>
      </c>
      <c r="D230" s="300"/>
      <c r="E230" s="300">
        <v>1</v>
      </c>
      <c r="F230" s="300">
        <v>1</v>
      </c>
      <c r="G230" s="300"/>
      <c r="H230" s="353">
        <v>551</v>
      </c>
    </row>
    <row r="231" spans="1:8" s="73" customFormat="1" ht="15" customHeight="1">
      <c r="A231" s="532"/>
      <c r="B231" s="532"/>
      <c r="C231" s="300">
        <v>1</v>
      </c>
      <c r="D231" s="300"/>
      <c r="E231" s="300"/>
      <c r="F231" s="300"/>
      <c r="G231" s="300"/>
      <c r="H231" s="353">
        <v>120</v>
      </c>
    </row>
    <row r="232" spans="1:8" s="73" customFormat="1" ht="15" customHeight="1">
      <c r="A232" s="532"/>
      <c r="B232" s="532"/>
      <c r="C232" s="300">
        <v>1</v>
      </c>
      <c r="D232" s="300">
        <v>1</v>
      </c>
      <c r="E232" s="300"/>
      <c r="F232" s="300">
        <v>1</v>
      </c>
      <c r="G232" s="300"/>
      <c r="H232" s="353">
        <v>130</v>
      </c>
    </row>
    <row r="233" spans="1:8" s="73" customFormat="1" ht="15" customHeight="1">
      <c r="A233" s="532"/>
      <c r="B233" s="532"/>
      <c r="C233" s="300">
        <v>1</v>
      </c>
      <c r="D233" s="300">
        <v>1</v>
      </c>
      <c r="E233" s="300"/>
      <c r="F233" s="300"/>
      <c r="G233" s="300"/>
      <c r="H233" s="353">
        <v>125</v>
      </c>
    </row>
    <row r="234" spans="1:8" s="73" customFormat="1" ht="15" customHeight="1">
      <c r="A234" s="532"/>
      <c r="B234" s="532"/>
      <c r="C234" s="300">
        <v>1</v>
      </c>
      <c r="D234" s="300"/>
      <c r="E234" s="300"/>
      <c r="F234" s="300"/>
      <c r="G234" s="300"/>
      <c r="H234" s="353">
        <v>161</v>
      </c>
    </row>
    <row r="235" spans="1:8" s="73" customFormat="1" ht="15" customHeight="1">
      <c r="A235" s="532"/>
      <c r="B235" s="532"/>
      <c r="C235" s="300">
        <v>1</v>
      </c>
      <c r="D235" s="300"/>
      <c r="E235" s="300"/>
      <c r="F235" s="300"/>
      <c r="G235" s="300"/>
      <c r="H235" s="353">
        <v>900</v>
      </c>
    </row>
    <row r="236" spans="1:8" s="73" customFormat="1" ht="15" customHeight="1">
      <c r="A236" s="532"/>
      <c r="B236" s="532"/>
      <c r="C236" s="300">
        <v>1</v>
      </c>
      <c r="D236" s="300"/>
      <c r="E236" s="300"/>
      <c r="F236" s="300"/>
      <c r="G236" s="300"/>
      <c r="H236" s="353">
        <v>1067.48</v>
      </c>
    </row>
    <row r="237" spans="1:8" s="73" customFormat="1" ht="15" customHeight="1">
      <c r="A237" s="532"/>
      <c r="B237" s="532"/>
      <c r="C237" s="300">
        <v>1</v>
      </c>
      <c r="D237" s="300"/>
      <c r="E237" s="300"/>
      <c r="F237" s="300"/>
      <c r="G237" s="300"/>
      <c r="H237" s="353">
        <v>400</v>
      </c>
    </row>
    <row r="238" spans="1:8" s="73" customFormat="1" ht="15" customHeight="1">
      <c r="A238" s="532"/>
      <c r="B238" s="532"/>
      <c r="C238" s="300">
        <v>1</v>
      </c>
      <c r="D238" s="300"/>
      <c r="E238" s="300">
        <v>1</v>
      </c>
      <c r="F238" s="300"/>
      <c r="G238" s="300"/>
      <c r="H238" s="353">
        <v>342</v>
      </c>
    </row>
    <row r="239" spans="1:8" s="73" customFormat="1" ht="15" customHeight="1">
      <c r="A239" s="532"/>
      <c r="B239" s="532"/>
      <c r="C239" s="300">
        <v>1</v>
      </c>
      <c r="D239" s="300"/>
      <c r="E239" s="300"/>
      <c r="F239" s="300"/>
      <c r="G239" s="300"/>
      <c r="H239" s="353">
        <v>500</v>
      </c>
    </row>
    <row r="240" spans="1:8" s="73" customFormat="1" ht="15" customHeight="1">
      <c r="A240" s="532"/>
      <c r="B240" s="532"/>
      <c r="C240" s="300">
        <v>1</v>
      </c>
      <c r="D240" s="300"/>
      <c r="E240" s="300"/>
      <c r="F240" s="300"/>
      <c r="G240" s="300"/>
      <c r="H240" s="353">
        <v>420</v>
      </c>
    </row>
    <row r="241" spans="1:8" s="161" customFormat="1" ht="15" customHeight="1">
      <c r="A241" s="75" t="s">
        <v>213</v>
      </c>
      <c r="B241" s="85"/>
      <c r="C241" s="112">
        <f>SUM(C229:C240)</f>
        <v>12</v>
      </c>
      <c r="D241" s="113"/>
      <c r="E241" s="113"/>
      <c r="F241" s="113"/>
      <c r="G241" s="113"/>
      <c r="H241" s="147">
        <f>SUM(H228:H240)</f>
        <v>8301.48</v>
      </c>
    </row>
    <row r="242" spans="1:8" s="161" customFormat="1" ht="15" customHeight="1">
      <c r="A242" s="230" t="s">
        <v>30</v>
      </c>
      <c r="B242" s="538"/>
      <c r="C242" s="134"/>
      <c r="D242" s="229"/>
      <c r="E242" s="229"/>
      <c r="F242" s="539"/>
      <c r="G242" s="539"/>
      <c r="H242" s="167"/>
    </row>
    <row r="243" spans="1:8" s="73" customFormat="1" ht="15" customHeight="1">
      <c r="A243" s="350" t="s">
        <v>368</v>
      </c>
      <c r="B243" s="317"/>
      <c r="C243" s="351"/>
      <c r="D243" s="352"/>
      <c r="E243" s="353">
        <v>3464</v>
      </c>
      <c r="F243" s="366"/>
      <c r="G243" s="366"/>
      <c r="H243" s="355">
        <v>2587.5</v>
      </c>
    </row>
    <row r="244" spans="1:8" s="73" customFormat="1" ht="15" customHeight="1">
      <c r="A244" s="532"/>
      <c r="B244" s="532"/>
      <c r="C244" s="300">
        <v>1</v>
      </c>
      <c r="D244" s="300"/>
      <c r="E244" s="300">
        <v>1</v>
      </c>
      <c r="F244" s="300"/>
      <c r="G244" s="300">
        <v>1</v>
      </c>
      <c r="H244" s="353">
        <v>250</v>
      </c>
    </row>
    <row r="245" spans="1:8" s="73" customFormat="1" ht="15" customHeight="1">
      <c r="A245" s="532"/>
      <c r="B245" s="532"/>
      <c r="C245" s="300">
        <v>1</v>
      </c>
      <c r="D245" s="300">
        <v>1</v>
      </c>
      <c r="E245" s="300"/>
      <c r="F245" s="300"/>
      <c r="G245" s="300">
        <v>1</v>
      </c>
      <c r="H245" s="353">
        <v>150</v>
      </c>
    </row>
    <row r="246" spans="1:8" s="73" customFormat="1" ht="15" customHeight="1">
      <c r="A246" s="532"/>
      <c r="B246" s="532"/>
      <c r="C246" s="300">
        <v>1</v>
      </c>
      <c r="D246" s="300"/>
      <c r="E246" s="300"/>
      <c r="F246" s="300"/>
      <c r="G246" s="300">
        <v>1</v>
      </c>
      <c r="H246" s="353">
        <v>350</v>
      </c>
    </row>
    <row r="247" spans="1:8" s="73" customFormat="1" ht="15" customHeight="1">
      <c r="A247" s="532"/>
      <c r="B247" s="532"/>
      <c r="C247" s="300">
        <v>1</v>
      </c>
      <c r="D247" s="300"/>
      <c r="E247" s="300"/>
      <c r="F247" s="300"/>
      <c r="G247" s="300"/>
      <c r="H247" s="353">
        <v>100</v>
      </c>
    </row>
    <row r="248" spans="1:8" s="81" customFormat="1" ht="15" customHeight="1">
      <c r="A248" s="532"/>
      <c r="B248" s="532"/>
      <c r="C248" s="300">
        <v>1</v>
      </c>
      <c r="D248" s="300">
        <v>1</v>
      </c>
      <c r="E248" s="300"/>
      <c r="F248" s="300"/>
      <c r="G248" s="300">
        <v>1</v>
      </c>
      <c r="H248" s="353">
        <v>4649.3</v>
      </c>
    </row>
    <row r="249" spans="1:8" s="81" customFormat="1" ht="15" customHeight="1">
      <c r="A249" s="532"/>
      <c r="B249" s="532"/>
      <c r="C249" s="300">
        <v>1</v>
      </c>
      <c r="D249" s="300">
        <v>1</v>
      </c>
      <c r="E249" s="300"/>
      <c r="F249" s="300"/>
      <c r="G249" s="300"/>
      <c r="H249" s="353">
        <v>1150</v>
      </c>
    </row>
    <row r="250" spans="1:8" s="81" customFormat="1" ht="15" customHeight="1">
      <c r="A250" s="532"/>
      <c r="B250" s="532"/>
      <c r="C250" s="300">
        <v>1</v>
      </c>
      <c r="D250" s="300"/>
      <c r="E250" s="300"/>
      <c r="F250" s="300"/>
      <c r="G250" s="300">
        <v>1</v>
      </c>
      <c r="H250" s="353">
        <v>1150</v>
      </c>
    </row>
    <row r="251" spans="1:8" s="81" customFormat="1" ht="15" customHeight="1">
      <c r="A251" s="532"/>
      <c r="B251" s="532"/>
      <c r="C251" s="300">
        <v>1</v>
      </c>
      <c r="D251" s="300"/>
      <c r="E251" s="300"/>
      <c r="F251" s="300"/>
      <c r="G251" s="300"/>
      <c r="H251" s="353">
        <v>500</v>
      </c>
    </row>
    <row r="252" spans="1:8" s="81" customFormat="1" ht="15" customHeight="1">
      <c r="A252" s="532"/>
      <c r="B252" s="532"/>
      <c r="C252" s="300">
        <v>1</v>
      </c>
      <c r="D252" s="300"/>
      <c r="E252" s="300"/>
      <c r="F252" s="300"/>
      <c r="G252" s="300">
        <v>1</v>
      </c>
      <c r="H252" s="353">
        <v>150</v>
      </c>
    </row>
    <row r="253" spans="1:8" s="81" customFormat="1" ht="15" customHeight="1">
      <c r="A253" s="532"/>
      <c r="B253" s="532"/>
      <c r="C253" s="300">
        <v>1</v>
      </c>
      <c r="D253" s="300"/>
      <c r="E253" s="300">
        <v>1</v>
      </c>
      <c r="F253" s="300"/>
      <c r="G253" s="300">
        <v>1</v>
      </c>
      <c r="H253" s="353">
        <v>250</v>
      </c>
    </row>
    <row r="254" spans="1:8" s="81" customFormat="1" ht="15" customHeight="1">
      <c r="A254" s="532"/>
      <c r="B254" s="532"/>
      <c r="C254" s="300">
        <v>1</v>
      </c>
      <c r="D254" s="300"/>
      <c r="E254" s="300"/>
      <c r="F254" s="300"/>
      <c r="G254" s="300"/>
      <c r="H254" s="353">
        <v>200</v>
      </c>
    </row>
    <row r="255" spans="1:8" s="81" customFormat="1" ht="15" customHeight="1">
      <c r="A255" s="532"/>
      <c r="B255" s="532"/>
      <c r="C255" s="300">
        <v>1</v>
      </c>
      <c r="D255" s="300">
        <v>1</v>
      </c>
      <c r="E255" s="300"/>
      <c r="F255" s="300">
        <v>1</v>
      </c>
      <c r="G255" s="300"/>
      <c r="H255" s="353">
        <v>213.6</v>
      </c>
    </row>
    <row r="256" spans="1:8" s="81" customFormat="1" ht="15" customHeight="1">
      <c r="A256" s="532"/>
      <c r="B256" s="532"/>
      <c r="C256" s="300">
        <v>1</v>
      </c>
      <c r="D256" s="300"/>
      <c r="E256" s="300"/>
      <c r="F256" s="300"/>
      <c r="G256" s="300"/>
      <c r="H256" s="353">
        <v>280</v>
      </c>
    </row>
    <row r="257" spans="1:8" s="81" customFormat="1" ht="15" customHeight="1">
      <c r="A257" s="532"/>
      <c r="B257" s="532"/>
      <c r="C257" s="300">
        <v>1</v>
      </c>
      <c r="D257" s="300"/>
      <c r="E257" s="300"/>
      <c r="F257" s="300"/>
      <c r="G257" s="300"/>
      <c r="H257" s="353">
        <v>1800</v>
      </c>
    </row>
    <row r="258" spans="1:8" s="81" customFormat="1" ht="15" customHeight="1">
      <c r="A258" s="532"/>
      <c r="B258" s="532"/>
      <c r="C258" s="300">
        <v>1</v>
      </c>
      <c r="D258" s="300"/>
      <c r="E258" s="300"/>
      <c r="F258" s="300"/>
      <c r="G258" s="300"/>
      <c r="H258" s="353">
        <v>1950</v>
      </c>
    </row>
    <row r="259" spans="1:8" s="81" customFormat="1" ht="15" customHeight="1">
      <c r="A259" s="532"/>
      <c r="B259" s="532"/>
      <c r="C259" s="300">
        <v>1</v>
      </c>
      <c r="D259" s="300"/>
      <c r="E259" s="300"/>
      <c r="F259" s="300"/>
      <c r="G259" s="300">
        <v>1</v>
      </c>
      <c r="H259" s="353">
        <v>2250</v>
      </c>
    </row>
    <row r="260" spans="1:8" s="81" customFormat="1" ht="15" customHeight="1">
      <c r="A260" s="532"/>
      <c r="B260" s="532"/>
      <c r="C260" s="300">
        <v>1</v>
      </c>
      <c r="D260" s="300"/>
      <c r="E260" s="300"/>
      <c r="F260" s="300"/>
      <c r="G260" s="300">
        <v>1</v>
      </c>
      <c r="H260" s="353">
        <v>1540</v>
      </c>
    </row>
    <row r="261" spans="1:8" s="81" customFormat="1" ht="15" customHeight="1">
      <c r="A261" s="532"/>
      <c r="B261" s="532"/>
      <c r="C261" s="300">
        <v>1</v>
      </c>
      <c r="D261" s="300"/>
      <c r="E261" s="300">
        <v>1</v>
      </c>
      <c r="F261" s="300"/>
      <c r="G261" s="300">
        <v>1</v>
      </c>
      <c r="H261" s="353">
        <v>1000</v>
      </c>
    </row>
    <row r="262" spans="1:8" s="81" customFormat="1" ht="15" customHeight="1">
      <c r="A262" s="532"/>
      <c r="B262" s="532"/>
      <c r="C262" s="300">
        <v>1</v>
      </c>
      <c r="D262" s="300"/>
      <c r="E262" s="300"/>
      <c r="F262" s="300"/>
      <c r="G262" s="300">
        <v>1</v>
      </c>
      <c r="H262" s="353">
        <v>225</v>
      </c>
    </row>
    <row r="263" spans="1:8" s="81" customFormat="1" ht="15" customHeight="1">
      <c r="A263" s="532"/>
      <c r="B263" s="532"/>
      <c r="C263" s="300">
        <v>1</v>
      </c>
      <c r="D263" s="300">
        <v>1</v>
      </c>
      <c r="E263" s="300"/>
      <c r="F263" s="300">
        <v>1</v>
      </c>
      <c r="G263" s="300"/>
      <c r="H263" s="353">
        <v>1540</v>
      </c>
    </row>
    <row r="264" spans="1:8" s="81" customFormat="1" ht="15" customHeight="1">
      <c r="A264" s="532"/>
      <c r="B264" s="532"/>
      <c r="C264" s="300">
        <v>1</v>
      </c>
      <c r="D264" s="300"/>
      <c r="E264" s="300"/>
      <c r="F264" s="300"/>
      <c r="G264" s="300">
        <v>1</v>
      </c>
      <c r="H264" s="353">
        <v>300</v>
      </c>
    </row>
    <row r="265" spans="1:8" s="81" customFormat="1" ht="15" customHeight="1">
      <c r="A265" s="532"/>
      <c r="B265" s="532"/>
      <c r="C265" s="300">
        <v>1</v>
      </c>
      <c r="D265" s="300"/>
      <c r="E265" s="300">
        <v>1</v>
      </c>
      <c r="F265" s="300">
        <v>1</v>
      </c>
      <c r="G265" s="300"/>
      <c r="H265" s="353">
        <v>700</v>
      </c>
    </row>
    <row r="266" spans="1:8" s="81" customFormat="1" ht="15" customHeight="1">
      <c r="A266" s="532"/>
      <c r="B266" s="532"/>
      <c r="C266" s="300">
        <v>1</v>
      </c>
      <c r="D266" s="300">
        <v>1</v>
      </c>
      <c r="E266" s="300"/>
      <c r="F266" s="300">
        <v>1</v>
      </c>
      <c r="G266" s="300"/>
      <c r="H266" s="353">
        <v>450</v>
      </c>
    </row>
    <row r="267" spans="1:8" s="81" customFormat="1" ht="15" customHeight="1">
      <c r="A267" s="532"/>
      <c r="B267" s="532"/>
      <c r="C267" s="300">
        <v>1</v>
      </c>
      <c r="D267" s="300">
        <v>1</v>
      </c>
      <c r="E267" s="300"/>
      <c r="F267" s="300">
        <v>1</v>
      </c>
      <c r="G267" s="300"/>
      <c r="H267" s="353">
        <v>750</v>
      </c>
    </row>
    <row r="268" spans="1:8" s="81" customFormat="1" ht="15" customHeight="1">
      <c r="A268" s="532"/>
      <c r="B268" s="532"/>
      <c r="C268" s="300">
        <v>1</v>
      </c>
      <c r="D268" s="300"/>
      <c r="E268" s="300">
        <v>1</v>
      </c>
      <c r="F268" s="300"/>
      <c r="G268" s="300">
        <v>1</v>
      </c>
      <c r="H268" s="353">
        <v>170</v>
      </c>
    </row>
    <row r="269" spans="1:8" s="81" customFormat="1" ht="15" customHeight="1">
      <c r="A269" s="532"/>
      <c r="B269" s="532"/>
      <c r="C269" s="300">
        <v>1</v>
      </c>
      <c r="D269" s="300"/>
      <c r="E269" s="300"/>
      <c r="F269" s="300"/>
      <c r="G269" s="300"/>
      <c r="H269" s="353">
        <v>1000</v>
      </c>
    </row>
    <row r="270" spans="1:8" s="81" customFormat="1" ht="15" customHeight="1">
      <c r="A270" s="532"/>
      <c r="B270" s="532"/>
      <c r="C270" s="300">
        <v>1</v>
      </c>
      <c r="D270" s="300">
        <v>1</v>
      </c>
      <c r="E270" s="300"/>
      <c r="F270" s="300"/>
      <c r="G270" s="300">
        <v>1</v>
      </c>
      <c r="H270" s="353">
        <v>250</v>
      </c>
    </row>
    <row r="271" spans="1:8" s="81" customFormat="1" ht="15" customHeight="1">
      <c r="A271" s="532"/>
      <c r="B271" s="532"/>
      <c r="C271" s="300">
        <v>1</v>
      </c>
      <c r="D271" s="300"/>
      <c r="E271" s="300"/>
      <c r="F271" s="300"/>
      <c r="G271" s="300"/>
      <c r="H271" s="353">
        <v>1082</v>
      </c>
    </row>
    <row r="272" spans="1:8" s="81" customFormat="1" ht="15" customHeight="1">
      <c r="A272" s="532"/>
      <c r="B272" s="532"/>
      <c r="C272" s="300">
        <v>1</v>
      </c>
      <c r="D272" s="300">
        <v>1</v>
      </c>
      <c r="E272" s="300"/>
      <c r="F272" s="300"/>
      <c r="G272" s="300">
        <v>1</v>
      </c>
      <c r="H272" s="353">
        <v>1150</v>
      </c>
    </row>
    <row r="273" spans="1:8" s="81" customFormat="1" ht="15" customHeight="1">
      <c r="A273" s="532"/>
      <c r="B273" s="532"/>
      <c r="C273" s="300">
        <v>1</v>
      </c>
      <c r="D273" s="300"/>
      <c r="E273" s="300"/>
      <c r="F273" s="300"/>
      <c r="G273" s="300"/>
      <c r="H273" s="353">
        <v>200</v>
      </c>
    </row>
    <row r="274" spans="1:8" s="81" customFormat="1" ht="15" customHeight="1">
      <c r="A274" s="532"/>
      <c r="B274" s="532"/>
      <c r="C274" s="300">
        <v>1</v>
      </c>
      <c r="D274" s="300"/>
      <c r="E274" s="300"/>
      <c r="F274" s="300"/>
      <c r="G274" s="300">
        <v>1</v>
      </c>
      <c r="H274" s="353">
        <v>445</v>
      </c>
    </row>
    <row r="275" spans="1:8" s="81" customFormat="1" ht="15" customHeight="1">
      <c r="A275" s="532"/>
      <c r="B275" s="532"/>
      <c r="C275" s="300">
        <v>1</v>
      </c>
      <c r="D275" s="300"/>
      <c r="E275" s="300"/>
      <c r="F275" s="300"/>
      <c r="G275" s="300"/>
      <c r="H275" s="353">
        <v>200</v>
      </c>
    </row>
    <row r="276" spans="1:8" s="81" customFormat="1" ht="15" customHeight="1">
      <c r="A276" s="532"/>
      <c r="B276" s="532"/>
      <c r="C276" s="300">
        <v>1</v>
      </c>
      <c r="D276" s="300"/>
      <c r="E276" s="300"/>
      <c r="F276" s="300"/>
      <c r="G276" s="300"/>
      <c r="H276" s="353">
        <v>345</v>
      </c>
    </row>
    <row r="277" spans="1:8" s="81" customFormat="1" ht="15" customHeight="1">
      <c r="A277" s="532"/>
      <c r="B277" s="532"/>
      <c r="C277" s="300">
        <v>1</v>
      </c>
      <c r="D277" s="300">
        <v>1</v>
      </c>
      <c r="E277" s="300"/>
      <c r="F277" s="300"/>
      <c r="G277" s="300">
        <v>1</v>
      </c>
      <c r="H277" s="353">
        <v>250</v>
      </c>
    </row>
    <row r="278" spans="1:8" s="81" customFormat="1" ht="15" customHeight="1">
      <c r="A278" s="532"/>
      <c r="B278" s="532"/>
      <c r="C278" s="300">
        <v>1</v>
      </c>
      <c r="D278" s="300"/>
      <c r="E278" s="300"/>
      <c r="F278" s="300"/>
      <c r="G278" s="300"/>
      <c r="H278" s="353">
        <v>450</v>
      </c>
    </row>
    <row r="279" spans="1:8" s="81" customFormat="1" ht="15" customHeight="1">
      <c r="A279" s="532"/>
      <c r="B279" s="532"/>
      <c r="C279" s="300">
        <v>1</v>
      </c>
      <c r="D279" s="300">
        <v>1</v>
      </c>
      <c r="E279" s="300"/>
      <c r="F279" s="300">
        <v>1</v>
      </c>
      <c r="G279" s="300"/>
      <c r="H279" s="353">
        <v>150</v>
      </c>
    </row>
    <row r="280" spans="1:8" s="81" customFormat="1" ht="15" customHeight="1">
      <c r="A280" s="532"/>
      <c r="B280" s="532"/>
      <c r="C280" s="300">
        <v>1</v>
      </c>
      <c r="D280" s="300"/>
      <c r="E280" s="300"/>
      <c r="F280" s="300"/>
      <c r="G280" s="300"/>
      <c r="H280" s="353">
        <v>250</v>
      </c>
    </row>
    <row r="281" spans="1:8" s="81" customFormat="1" ht="15" customHeight="1">
      <c r="A281" s="532"/>
      <c r="B281" s="532"/>
      <c r="C281" s="300">
        <v>1</v>
      </c>
      <c r="D281" s="300"/>
      <c r="E281" s="300"/>
      <c r="F281" s="300"/>
      <c r="G281" s="300"/>
      <c r="H281" s="353">
        <v>250</v>
      </c>
    </row>
    <row r="282" spans="1:8" s="161" customFormat="1" ht="15" customHeight="1">
      <c r="A282" s="75" t="s">
        <v>175</v>
      </c>
      <c r="B282" s="85"/>
      <c r="C282" s="112">
        <f>SUM(C244:C281)</f>
        <v>38</v>
      </c>
      <c r="D282" s="113"/>
      <c r="E282" s="113"/>
      <c r="F282" s="113"/>
      <c r="G282" s="113"/>
      <c r="H282" s="147">
        <f>SUM(H243:H281)</f>
        <v>30677.4</v>
      </c>
    </row>
    <row r="283" spans="1:8" s="51" customFormat="1" ht="15" customHeight="1">
      <c r="A283" s="28" t="s">
        <v>31</v>
      </c>
      <c r="B283" s="58"/>
      <c r="C283" s="29"/>
      <c r="D283" s="29"/>
      <c r="E283" s="29"/>
      <c r="F283" s="29"/>
      <c r="G283" s="29"/>
      <c r="H283" s="356"/>
    </row>
    <row r="284" spans="1:8" s="73" customFormat="1" ht="15" customHeight="1">
      <c r="A284" s="350" t="s">
        <v>368</v>
      </c>
      <c r="B284" s="317"/>
      <c r="C284" s="351"/>
      <c r="D284" s="352"/>
      <c r="E284" s="353">
        <v>3464</v>
      </c>
      <c r="F284" s="366"/>
      <c r="G284" s="366"/>
      <c r="H284" s="355">
        <v>1100</v>
      </c>
    </row>
    <row r="285" spans="1:8" s="81" customFormat="1" ht="15" customHeight="1">
      <c r="A285" s="532"/>
      <c r="B285" s="532"/>
      <c r="C285" s="300">
        <v>1</v>
      </c>
      <c r="D285" s="300"/>
      <c r="E285" s="300"/>
      <c r="F285" s="300"/>
      <c r="G285" s="300"/>
      <c r="H285" s="353">
        <v>200</v>
      </c>
    </row>
    <row r="286" spans="1:8" s="81" customFormat="1" ht="15" customHeight="1">
      <c r="A286" s="532"/>
      <c r="B286" s="532"/>
      <c r="C286" s="300">
        <v>1</v>
      </c>
      <c r="D286" s="300"/>
      <c r="E286" s="300"/>
      <c r="F286" s="300"/>
      <c r="G286" s="300"/>
      <c r="H286" s="353">
        <v>200</v>
      </c>
    </row>
    <row r="287" spans="1:8" s="81" customFormat="1" ht="15" customHeight="1">
      <c r="A287" s="532"/>
      <c r="B287" s="532"/>
      <c r="C287" s="300">
        <v>1</v>
      </c>
      <c r="D287" s="300">
        <v>1</v>
      </c>
      <c r="E287" s="300"/>
      <c r="F287" s="300">
        <v>1</v>
      </c>
      <c r="G287" s="300"/>
      <c r="H287" s="353">
        <v>900</v>
      </c>
    </row>
    <row r="288" spans="1:8" s="81" customFormat="1" ht="15" customHeight="1">
      <c r="A288" s="532"/>
      <c r="B288" s="532"/>
      <c r="C288" s="300">
        <v>1</v>
      </c>
      <c r="D288" s="300">
        <v>1</v>
      </c>
      <c r="E288" s="300"/>
      <c r="F288" s="300"/>
      <c r="G288" s="300">
        <v>1</v>
      </c>
      <c r="H288" s="353">
        <v>1050</v>
      </c>
    </row>
    <row r="289" spans="1:8" s="81" customFormat="1" ht="15" customHeight="1">
      <c r="A289" s="532"/>
      <c r="B289" s="532"/>
      <c r="C289" s="300">
        <v>1</v>
      </c>
      <c r="D289" s="300"/>
      <c r="E289" s="300"/>
      <c r="F289" s="300"/>
      <c r="G289" s="300"/>
      <c r="H289" s="353">
        <v>50</v>
      </c>
    </row>
    <row r="290" spans="1:8" s="81" customFormat="1" ht="15" customHeight="1">
      <c r="A290" s="532"/>
      <c r="B290" s="532"/>
      <c r="C290" s="300">
        <v>1</v>
      </c>
      <c r="D290" s="300"/>
      <c r="E290" s="300"/>
      <c r="F290" s="300"/>
      <c r="G290" s="300"/>
      <c r="H290" s="353">
        <v>185</v>
      </c>
    </row>
    <row r="291" spans="1:8" s="81" customFormat="1" ht="15" customHeight="1">
      <c r="A291" s="532"/>
      <c r="B291" s="532"/>
      <c r="C291" s="300">
        <v>1</v>
      </c>
      <c r="D291" s="300"/>
      <c r="E291" s="300"/>
      <c r="F291" s="300"/>
      <c r="G291" s="300"/>
      <c r="H291" s="353">
        <v>1130</v>
      </c>
    </row>
    <row r="292" spans="1:8" s="81" customFormat="1" ht="15" customHeight="1">
      <c r="A292" s="532"/>
      <c r="B292" s="532"/>
      <c r="C292" s="300">
        <v>1</v>
      </c>
      <c r="D292" s="300"/>
      <c r="E292" s="300"/>
      <c r="F292" s="300"/>
      <c r="G292" s="300"/>
      <c r="H292" s="353">
        <v>553</v>
      </c>
    </row>
    <row r="293" spans="1:8" s="81" customFormat="1" ht="15" customHeight="1">
      <c r="A293" s="532"/>
      <c r="B293" s="532"/>
      <c r="C293" s="300">
        <v>1</v>
      </c>
      <c r="D293" s="300"/>
      <c r="E293" s="300">
        <v>1</v>
      </c>
      <c r="F293" s="300">
        <v>1</v>
      </c>
      <c r="G293" s="300"/>
      <c r="H293" s="353">
        <v>1080</v>
      </c>
    </row>
    <row r="294" spans="1:8" s="81" customFormat="1" ht="15" customHeight="1">
      <c r="A294" s="532"/>
      <c r="B294" s="532"/>
      <c r="C294" s="300">
        <v>1</v>
      </c>
      <c r="D294" s="300"/>
      <c r="E294" s="300"/>
      <c r="F294" s="300"/>
      <c r="G294" s="300"/>
      <c r="H294" s="353">
        <v>265</v>
      </c>
    </row>
    <row r="295" spans="1:8" s="81" customFormat="1" ht="15" customHeight="1">
      <c r="A295" s="532"/>
      <c r="B295" s="532"/>
      <c r="C295" s="300">
        <v>1</v>
      </c>
      <c r="D295" s="300"/>
      <c r="E295" s="300"/>
      <c r="F295" s="300"/>
      <c r="G295" s="300">
        <v>1</v>
      </c>
      <c r="H295" s="353">
        <v>550</v>
      </c>
    </row>
    <row r="296" spans="1:8" s="81" customFormat="1" ht="15" customHeight="1">
      <c r="A296" s="532"/>
      <c r="B296" s="532"/>
      <c r="C296" s="300">
        <v>1</v>
      </c>
      <c r="D296" s="300"/>
      <c r="E296" s="300"/>
      <c r="F296" s="300"/>
      <c r="G296" s="300">
        <v>1</v>
      </c>
      <c r="H296" s="353">
        <v>950</v>
      </c>
    </row>
    <row r="297" spans="1:8" s="158" customFormat="1" ht="15" customHeight="1">
      <c r="A297" s="70" t="s">
        <v>223</v>
      </c>
      <c r="B297" s="153"/>
      <c r="C297" s="88">
        <f>SUM(C285:C296)</f>
        <v>12</v>
      </c>
      <c r="D297" s="88"/>
      <c r="E297" s="88"/>
      <c r="F297" s="88"/>
      <c r="G297" s="88"/>
      <c r="H297" s="143">
        <f>SUM(H284:H296)</f>
        <v>8213</v>
      </c>
    </row>
    <row r="298" spans="1:8" s="51" customFormat="1" ht="15" customHeight="1">
      <c r="A298" s="28" t="s">
        <v>32</v>
      </c>
      <c r="B298" s="58"/>
      <c r="C298" s="29"/>
      <c r="D298" s="29"/>
      <c r="E298" s="29"/>
      <c r="F298" s="29"/>
      <c r="G298" s="29"/>
      <c r="H298" s="356"/>
    </row>
    <row r="299" spans="1:8" ht="15" customHeight="1">
      <c r="A299" s="532"/>
      <c r="B299" s="532"/>
      <c r="C299" s="300">
        <v>1</v>
      </c>
      <c r="D299" s="300">
        <v>1</v>
      </c>
      <c r="E299" s="300"/>
      <c r="F299" s="300"/>
      <c r="G299" s="300">
        <v>1</v>
      </c>
      <c r="H299" s="353">
        <v>600</v>
      </c>
    </row>
    <row r="300" spans="1:8" ht="15" customHeight="1">
      <c r="A300" s="532"/>
      <c r="B300" s="532"/>
      <c r="C300" s="300">
        <v>1</v>
      </c>
      <c r="D300" s="300"/>
      <c r="E300" s="300"/>
      <c r="F300" s="300"/>
      <c r="G300" s="300"/>
      <c r="H300" s="353">
        <v>500</v>
      </c>
    </row>
    <row r="301" spans="1:8" ht="15" customHeight="1">
      <c r="A301" s="532"/>
      <c r="B301" s="532"/>
      <c r="C301" s="300">
        <v>1</v>
      </c>
      <c r="D301" s="300"/>
      <c r="E301" s="300"/>
      <c r="F301" s="300"/>
      <c r="G301" s="300">
        <v>1</v>
      </c>
      <c r="H301" s="353">
        <v>600</v>
      </c>
    </row>
    <row r="302" spans="1:8" ht="15" customHeight="1">
      <c r="A302" s="532"/>
      <c r="B302" s="532"/>
      <c r="C302" s="300">
        <v>1</v>
      </c>
      <c r="D302" s="300"/>
      <c r="E302" s="300"/>
      <c r="F302" s="300"/>
      <c r="G302" s="300"/>
      <c r="H302" s="353">
        <v>2414</v>
      </c>
    </row>
    <row r="303" spans="1:8" ht="15" customHeight="1">
      <c r="A303" s="532"/>
      <c r="B303" s="532"/>
      <c r="C303" s="300">
        <v>1</v>
      </c>
      <c r="D303" s="300"/>
      <c r="E303" s="300"/>
      <c r="F303" s="300"/>
      <c r="G303" s="300">
        <v>1</v>
      </c>
      <c r="H303" s="353">
        <v>100</v>
      </c>
    </row>
    <row r="304" spans="1:8" ht="15" customHeight="1">
      <c r="A304" s="532"/>
      <c r="B304" s="532"/>
      <c r="C304" s="300">
        <v>1</v>
      </c>
      <c r="D304" s="300"/>
      <c r="E304" s="300"/>
      <c r="F304" s="300"/>
      <c r="G304" s="300"/>
      <c r="H304" s="353">
        <v>600</v>
      </c>
    </row>
    <row r="305" spans="1:9" ht="15" customHeight="1">
      <c r="A305" s="532"/>
      <c r="B305" s="532"/>
      <c r="C305" s="300">
        <v>1</v>
      </c>
      <c r="D305" s="300"/>
      <c r="E305" s="300"/>
      <c r="F305" s="300"/>
      <c r="G305" s="300">
        <v>1</v>
      </c>
      <c r="H305" s="353">
        <v>1400</v>
      </c>
      <c r="I305" s="83"/>
    </row>
    <row r="306" spans="1:9" ht="15" customHeight="1">
      <c r="A306" s="532"/>
      <c r="B306" s="532"/>
      <c r="C306" s="300">
        <v>1</v>
      </c>
      <c r="D306" s="300"/>
      <c r="E306" s="300"/>
      <c r="F306" s="300"/>
      <c r="G306" s="300"/>
      <c r="H306" s="353">
        <v>500</v>
      </c>
      <c r="I306" s="83"/>
    </row>
    <row r="307" spans="1:9" ht="15" customHeight="1">
      <c r="A307" s="532"/>
      <c r="B307" s="532"/>
      <c r="C307" s="300">
        <v>1</v>
      </c>
      <c r="D307" s="300"/>
      <c r="E307" s="300"/>
      <c r="F307" s="300"/>
      <c r="G307" s="300"/>
      <c r="H307" s="353">
        <v>500</v>
      </c>
      <c r="I307" s="83"/>
    </row>
    <row r="308" spans="1:9" ht="15" customHeight="1">
      <c r="A308" s="532"/>
      <c r="B308" s="532"/>
      <c r="C308" s="300">
        <v>1</v>
      </c>
      <c r="D308" s="300"/>
      <c r="E308" s="300"/>
      <c r="F308" s="300"/>
      <c r="G308" s="300"/>
      <c r="H308" s="353">
        <v>596</v>
      </c>
      <c r="I308" s="83"/>
    </row>
    <row r="309" spans="1:9" ht="15" customHeight="1">
      <c r="A309" s="532"/>
      <c r="B309" s="532"/>
      <c r="C309" s="300">
        <v>1</v>
      </c>
      <c r="D309" s="300"/>
      <c r="E309" s="300"/>
      <c r="F309" s="300"/>
      <c r="G309" s="300"/>
      <c r="H309" s="353">
        <v>900</v>
      </c>
      <c r="I309" s="83"/>
    </row>
    <row r="310" spans="1:9" ht="15" customHeight="1">
      <c r="A310" s="532"/>
      <c r="B310" s="532"/>
      <c r="C310" s="300">
        <v>1</v>
      </c>
      <c r="D310" s="300"/>
      <c r="E310" s="300"/>
      <c r="F310" s="300"/>
      <c r="G310" s="300"/>
      <c r="H310" s="353">
        <v>1500</v>
      </c>
      <c r="I310" s="83"/>
    </row>
    <row r="311" spans="1:9" ht="15" customHeight="1">
      <c r="A311" s="532"/>
      <c r="B311" s="532"/>
      <c r="C311" s="300">
        <v>1</v>
      </c>
      <c r="D311" s="300"/>
      <c r="E311" s="300"/>
      <c r="F311" s="300"/>
      <c r="G311" s="300"/>
      <c r="H311" s="353">
        <v>710</v>
      </c>
      <c r="I311" s="83"/>
    </row>
    <row r="312" spans="1:9" ht="15" customHeight="1">
      <c r="A312" s="532"/>
      <c r="B312" s="532"/>
      <c r="C312" s="300">
        <v>1</v>
      </c>
      <c r="D312" s="300"/>
      <c r="E312" s="300"/>
      <c r="F312" s="300"/>
      <c r="G312" s="300"/>
      <c r="H312" s="353">
        <v>400</v>
      </c>
      <c r="I312" s="83"/>
    </row>
    <row r="313" spans="1:9" ht="15" customHeight="1">
      <c r="A313" s="532"/>
      <c r="B313" s="532"/>
      <c r="C313" s="300">
        <v>1</v>
      </c>
      <c r="D313" s="300"/>
      <c r="E313" s="300"/>
      <c r="F313" s="300"/>
      <c r="G313" s="300"/>
      <c r="H313" s="353">
        <v>760</v>
      </c>
      <c r="I313" s="83"/>
    </row>
    <row r="314" spans="1:8" ht="15" customHeight="1">
      <c r="A314" s="532"/>
      <c r="B314" s="532"/>
      <c r="C314" s="300">
        <v>1</v>
      </c>
      <c r="D314" s="300">
        <v>1</v>
      </c>
      <c r="E314" s="300"/>
      <c r="F314" s="300"/>
      <c r="G314" s="300">
        <v>1</v>
      </c>
      <c r="H314" s="353">
        <v>2400</v>
      </c>
    </row>
    <row r="315" spans="1:8" ht="15" customHeight="1">
      <c r="A315" s="532"/>
      <c r="B315" s="532"/>
      <c r="C315" s="300">
        <v>1</v>
      </c>
      <c r="D315" s="300"/>
      <c r="E315" s="300"/>
      <c r="F315" s="300"/>
      <c r="G315" s="300"/>
      <c r="H315" s="353">
        <v>1000</v>
      </c>
    </row>
    <row r="316" spans="1:8" ht="15" customHeight="1">
      <c r="A316" s="532"/>
      <c r="B316" s="532"/>
      <c r="C316" s="300">
        <v>1</v>
      </c>
      <c r="D316" s="300"/>
      <c r="E316" s="300">
        <v>1</v>
      </c>
      <c r="F316" s="300">
        <v>1</v>
      </c>
      <c r="G316" s="300"/>
      <c r="H316" s="353">
        <v>2400</v>
      </c>
    </row>
    <row r="317" spans="1:8" ht="15" customHeight="1">
      <c r="A317" s="532"/>
      <c r="B317" s="532"/>
      <c r="C317" s="300">
        <v>1</v>
      </c>
      <c r="D317" s="300"/>
      <c r="E317" s="300"/>
      <c r="F317" s="300"/>
      <c r="G317" s="300"/>
      <c r="H317" s="353">
        <v>600</v>
      </c>
    </row>
    <row r="318" spans="1:8" ht="15" customHeight="1">
      <c r="A318" s="532"/>
      <c r="B318" s="532"/>
      <c r="C318" s="300">
        <v>1</v>
      </c>
      <c r="D318" s="300"/>
      <c r="E318" s="300">
        <v>1</v>
      </c>
      <c r="F318" s="300">
        <v>1</v>
      </c>
      <c r="G318" s="300"/>
      <c r="H318" s="353">
        <v>1576</v>
      </c>
    </row>
    <row r="319" spans="1:8" ht="15" customHeight="1">
      <c r="A319" s="532"/>
      <c r="B319" s="532"/>
      <c r="C319" s="300">
        <v>1</v>
      </c>
      <c r="D319" s="300"/>
      <c r="E319" s="300"/>
      <c r="F319" s="300"/>
      <c r="G319" s="300"/>
      <c r="H319" s="353">
        <v>600</v>
      </c>
    </row>
    <row r="320" spans="1:8" ht="15" customHeight="1">
      <c r="A320" s="532"/>
      <c r="B320" s="532"/>
      <c r="C320" s="300">
        <v>1</v>
      </c>
      <c r="D320" s="300">
        <v>1</v>
      </c>
      <c r="E320" s="300"/>
      <c r="F320" s="300">
        <v>1</v>
      </c>
      <c r="G320" s="300"/>
      <c r="H320" s="353">
        <v>640</v>
      </c>
    </row>
    <row r="321" spans="1:8" ht="15" customHeight="1">
      <c r="A321" s="532"/>
      <c r="B321" s="532"/>
      <c r="C321" s="300">
        <v>1</v>
      </c>
      <c r="D321" s="300">
        <v>1</v>
      </c>
      <c r="E321" s="300"/>
      <c r="F321" s="300"/>
      <c r="G321" s="300">
        <v>1</v>
      </c>
      <c r="H321" s="353">
        <v>1340</v>
      </c>
    </row>
    <row r="322" spans="1:8" ht="15" customHeight="1">
      <c r="A322" s="532"/>
      <c r="B322" s="532"/>
      <c r="C322" s="300">
        <v>1</v>
      </c>
      <c r="D322" s="300"/>
      <c r="E322" s="300"/>
      <c r="F322" s="300"/>
      <c r="G322" s="300"/>
      <c r="H322" s="353">
        <v>144</v>
      </c>
    </row>
    <row r="323" spans="1:8" ht="15" customHeight="1">
      <c r="A323" s="532"/>
      <c r="B323" s="532"/>
      <c r="C323" s="300">
        <v>1</v>
      </c>
      <c r="D323" s="300"/>
      <c r="E323" s="300">
        <v>1</v>
      </c>
      <c r="F323" s="300">
        <v>1</v>
      </c>
      <c r="G323" s="300"/>
      <c r="H323" s="353">
        <v>1520</v>
      </c>
    </row>
    <row r="324" spans="1:8" ht="15" customHeight="1">
      <c r="A324" s="532"/>
      <c r="B324" s="532"/>
      <c r="C324" s="300">
        <v>1</v>
      </c>
      <c r="D324" s="300"/>
      <c r="E324" s="300"/>
      <c r="F324" s="300"/>
      <c r="G324" s="300">
        <v>1</v>
      </c>
      <c r="H324" s="353">
        <v>1600</v>
      </c>
    </row>
    <row r="325" spans="1:8" ht="15" customHeight="1">
      <c r="A325" s="532"/>
      <c r="B325" s="532"/>
      <c r="C325" s="300">
        <v>1</v>
      </c>
      <c r="D325" s="300"/>
      <c r="E325" s="300"/>
      <c r="F325" s="300"/>
      <c r="G325" s="300">
        <v>1</v>
      </c>
      <c r="H325" s="353">
        <v>300</v>
      </c>
    </row>
    <row r="326" spans="1:8" ht="15" customHeight="1">
      <c r="A326" s="532"/>
      <c r="B326" s="532"/>
      <c r="C326" s="300">
        <v>1</v>
      </c>
      <c r="D326" s="300">
        <v>1</v>
      </c>
      <c r="E326" s="300"/>
      <c r="F326" s="300"/>
      <c r="G326" s="300"/>
      <c r="H326" s="353">
        <v>250</v>
      </c>
    </row>
    <row r="327" spans="1:8" ht="15" customHeight="1">
      <c r="A327" s="532"/>
      <c r="B327" s="532"/>
      <c r="C327" s="300">
        <v>1</v>
      </c>
      <c r="D327" s="300"/>
      <c r="E327" s="300"/>
      <c r="F327" s="300"/>
      <c r="G327" s="300"/>
      <c r="H327" s="353">
        <v>330</v>
      </c>
    </row>
    <row r="328" spans="1:8" ht="15" customHeight="1">
      <c r="A328" s="532"/>
      <c r="B328" s="532"/>
      <c r="C328" s="300">
        <v>1</v>
      </c>
      <c r="D328" s="300"/>
      <c r="E328" s="300"/>
      <c r="F328" s="300"/>
      <c r="G328" s="300"/>
      <c r="H328" s="353">
        <v>426</v>
      </c>
    </row>
    <row r="329" spans="1:8" ht="15" customHeight="1">
      <c r="A329" s="532"/>
      <c r="B329" s="532"/>
      <c r="C329" s="300">
        <v>1</v>
      </c>
      <c r="D329" s="300"/>
      <c r="E329" s="300">
        <v>1</v>
      </c>
      <c r="F329" s="300">
        <v>1</v>
      </c>
      <c r="G329" s="300"/>
      <c r="H329" s="353">
        <v>2023.29</v>
      </c>
    </row>
    <row r="330" spans="1:8" ht="15" customHeight="1">
      <c r="A330" s="532"/>
      <c r="B330" s="532"/>
      <c r="C330" s="300">
        <v>1</v>
      </c>
      <c r="D330" s="300"/>
      <c r="E330" s="300"/>
      <c r="F330" s="300"/>
      <c r="G330" s="300">
        <v>1</v>
      </c>
      <c r="H330" s="353">
        <v>4785</v>
      </c>
    </row>
    <row r="331" spans="1:8" ht="15" customHeight="1">
      <c r="A331" s="532"/>
      <c r="B331" s="532"/>
      <c r="C331" s="300">
        <v>1</v>
      </c>
      <c r="D331" s="300"/>
      <c r="E331" s="300">
        <v>1</v>
      </c>
      <c r="F331" s="300"/>
      <c r="G331" s="300">
        <v>1</v>
      </c>
      <c r="H331" s="353">
        <v>6260</v>
      </c>
    </row>
    <row r="332" spans="1:8" ht="15" customHeight="1">
      <c r="A332" s="532"/>
      <c r="B332" s="532"/>
      <c r="C332" s="300">
        <v>1</v>
      </c>
      <c r="D332" s="300"/>
      <c r="E332" s="300"/>
      <c r="F332" s="300"/>
      <c r="G332" s="300"/>
      <c r="H332" s="353">
        <v>2082</v>
      </c>
    </row>
    <row r="333" spans="1:8" ht="15" customHeight="1">
      <c r="A333" s="532"/>
      <c r="B333" s="532"/>
      <c r="C333" s="300">
        <v>1</v>
      </c>
      <c r="D333" s="300"/>
      <c r="E333" s="300">
        <v>1</v>
      </c>
      <c r="F333" s="300"/>
      <c r="G333" s="300">
        <v>1</v>
      </c>
      <c r="H333" s="353">
        <v>250</v>
      </c>
    </row>
    <row r="334" spans="1:8" ht="15" customHeight="1">
      <c r="A334" s="532"/>
      <c r="B334" s="532"/>
      <c r="C334" s="300">
        <v>1</v>
      </c>
      <c r="D334" s="300"/>
      <c r="E334" s="300"/>
      <c r="F334" s="300"/>
      <c r="G334" s="300"/>
      <c r="H334" s="353">
        <v>600</v>
      </c>
    </row>
    <row r="335" spans="1:8" ht="15" customHeight="1">
      <c r="A335" s="532"/>
      <c r="B335" s="532"/>
      <c r="C335" s="300">
        <v>1</v>
      </c>
      <c r="D335" s="300"/>
      <c r="E335" s="300"/>
      <c r="F335" s="300"/>
      <c r="G335" s="300">
        <v>1</v>
      </c>
      <c r="H335" s="353">
        <v>400</v>
      </c>
    </row>
    <row r="336" spans="1:8" ht="15" customHeight="1">
      <c r="A336" s="532"/>
      <c r="B336" s="532"/>
      <c r="C336" s="300">
        <v>1</v>
      </c>
      <c r="D336" s="300"/>
      <c r="E336" s="300"/>
      <c r="F336" s="300"/>
      <c r="G336" s="300"/>
      <c r="H336" s="353">
        <f>2660.04+4.85</f>
        <v>2664.89</v>
      </c>
    </row>
    <row r="337" spans="1:8" ht="15" customHeight="1">
      <c r="A337" s="532"/>
      <c r="B337" s="532"/>
      <c r="C337" s="300">
        <v>1</v>
      </c>
      <c r="D337" s="300"/>
      <c r="E337" s="300">
        <v>1</v>
      </c>
      <c r="F337" s="300"/>
      <c r="G337" s="300">
        <v>1</v>
      </c>
      <c r="H337" s="353">
        <v>490</v>
      </c>
    </row>
    <row r="338" spans="1:8" ht="15" customHeight="1">
      <c r="A338" s="532"/>
      <c r="B338" s="532"/>
      <c r="C338" s="300">
        <v>1</v>
      </c>
      <c r="D338" s="300"/>
      <c r="E338" s="300"/>
      <c r="F338" s="300"/>
      <c r="G338" s="300"/>
      <c r="H338" s="353">
        <v>870</v>
      </c>
    </row>
    <row r="339" spans="1:8" ht="15" customHeight="1">
      <c r="A339" s="532"/>
      <c r="B339" s="532"/>
      <c r="C339" s="300">
        <v>1</v>
      </c>
      <c r="D339" s="300"/>
      <c r="E339" s="300"/>
      <c r="F339" s="300"/>
      <c r="G339" s="300"/>
      <c r="H339" s="353">
        <v>4680</v>
      </c>
    </row>
    <row r="340" spans="1:8" ht="15" customHeight="1">
      <c r="A340" s="532"/>
      <c r="B340" s="532"/>
      <c r="C340" s="300">
        <v>1</v>
      </c>
      <c r="D340" s="300">
        <v>1</v>
      </c>
      <c r="E340" s="300"/>
      <c r="F340" s="300"/>
      <c r="G340" s="300">
        <v>1</v>
      </c>
      <c r="H340" s="353">
        <f>1866+5174</f>
        <v>7040</v>
      </c>
    </row>
    <row r="341" spans="1:8" ht="15" customHeight="1">
      <c r="A341" s="532"/>
      <c r="B341" s="532"/>
      <c r="C341" s="300">
        <v>1</v>
      </c>
      <c r="D341" s="300">
        <v>1</v>
      </c>
      <c r="E341" s="300"/>
      <c r="F341" s="300">
        <v>1</v>
      </c>
      <c r="G341" s="300"/>
      <c r="H341" s="353">
        <v>850</v>
      </c>
    </row>
    <row r="342" spans="1:8" ht="15" customHeight="1">
      <c r="A342" s="532"/>
      <c r="B342" s="532"/>
      <c r="C342" s="300">
        <v>1</v>
      </c>
      <c r="D342" s="300"/>
      <c r="E342" s="300">
        <v>1</v>
      </c>
      <c r="F342" s="300"/>
      <c r="G342" s="300">
        <v>1</v>
      </c>
      <c r="H342" s="353">
        <v>1250</v>
      </c>
    </row>
    <row r="343" spans="1:8" ht="15" customHeight="1">
      <c r="A343" s="532"/>
      <c r="B343" s="532"/>
      <c r="C343" s="300">
        <v>1</v>
      </c>
      <c r="D343" s="300"/>
      <c r="E343" s="300">
        <v>1</v>
      </c>
      <c r="F343" s="300"/>
      <c r="G343" s="300">
        <v>1</v>
      </c>
      <c r="H343" s="353">
        <v>722</v>
      </c>
    </row>
    <row r="344" spans="1:8" ht="15" customHeight="1">
      <c r="A344" s="532"/>
      <c r="B344" s="532"/>
      <c r="C344" s="300">
        <v>1</v>
      </c>
      <c r="D344" s="300"/>
      <c r="E344" s="300"/>
      <c r="F344" s="300"/>
      <c r="G344" s="300"/>
      <c r="H344" s="353">
        <v>360</v>
      </c>
    </row>
    <row r="345" spans="1:8" ht="15" customHeight="1">
      <c r="A345" s="532"/>
      <c r="B345" s="532"/>
      <c r="C345" s="300">
        <v>1</v>
      </c>
      <c r="D345" s="300"/>
      <c r="E345" s="300">
        <v>1</v>
      </c>
      <c r="F345" s="300">
        <v>1</v>
      </c>
      <c r="G345" s="300"/>
      <c r="H345" s="353">
        <v>700</v>
      </c>
    </row>
    <row r="346" spans="1:8" ht="15" customHeight="1">
      <c r="A346" s="532"/>
      <c r="B346" s="532"/>
      <c r="C346" s="300">
        <v>1</v>
      </c>
      <c r="D346" s="300">
        <v>1</v>
      </c>
      <c r="E346" s="300"/>
      <c r="F346" s="300">
        <v>1</v>
      </c>
      <c r="G346" s="300"/>
      <c r="H346" s="353">
        <v>400</v>
      </c>
    </row>
    <row r="347" spans="1:8" ht="15" customHeight="1">
      <c r="A347" s="532"/>
      <c r="B347" s="532"/>
      <c r="C347" s="300">
        <v>1</v>
      </c>
      <c r="D347" s="300"/>
      <c r="E347" s="300"/>
      <c r="F347" s="300"/>
      <c r="G347" s="300"/>
      <c r="H347" s="353">
        <v>450</v>
      </c>
    </row>
    <row r="348" spans="1:8" ht="15" customHeight="1">
      <c r="A348" s="532"/>
      <c r="B348" s="532"/>
      <c r="C348" s="300">
        <v>1</v>
      </c>
      <c r="D348" s="300"/>
      <c r="E348" s="300"/>
      <c r="F348" s="300"/>
      <c r="G348" s="300"/>
      <c r="H348" s="353">
        <v>4081</v>
      </c>
    </row>
    <row r="349" spans="1:8" ht="15" customHeight="1">
      <c r="A349" s="532"/>
      <c r="B349" s="532"/>
      <c r="C349" s="300">
        <v>1</v>
      </c>
      <c r="D349" s="300">
        <v>1</v>
      </c>
      <c r="E349" s="300"/>
      <c r="F349" s="300"/>
      <c r="G349" s="300">
        <v>1</v>
      </c>
      <c r="H349" s="353">
        <v>1340</v>
      </c>
    </row>
    <row r="350" spans="1:8" ht="15" customHeight="1">
      <c r="A350" s="532"/>
      <c r="B350" s="532"/>
      <c r="C350" s="300">
        <v>1</v>
      </c>
      <c r="D350" s="300"/>
      <c r="E350" s="300"/>
      <c r="F350" s="300"/>
      <c r="G350" s="300"/>
      <c r="H350" s="353">
        <v>683</v>
      </c>
    </row>
    <row r="351" spans="1:8" ht="15" customHeight="1">
      <c r="A351" s="532"/>
      <c r="B351" s="532"/>
      <c r="C351" s="300">
        <v>1</v>
      </c>
      <c r="D351" s="300"/>
      <c r="E351" s="300"/>
      <c r="F351" s="300"/>
      <c r="G351" s="300">
        <v>1</v>
      </c>
      <c r="H351" s="353">
        <v>2400</v>
      </c>
    </row>
    <row r="352" spans="1:8" ht="15" customHeight="1">
      <c r="A352" s="532"/>
      <c r="B352" s="532"/>
      <c r="C352" s="300">
        <v>1</v>
      </c>
      <c r="D352" s="300">
        <v>1</v>
      </c>
      <c r="E352" s="300"/>
      <c r="F352" s="300">
        <v>1</v>
      </c>
      <c r="G352" s="300"/>
      <c r="H352" s="353">
        <v>900</v>
      </c>
    </row>
    <row r="353" spans="1:8" ht="15" customHeight="1">
      <c r="A353" s="532"/>
      <c r="B353" s="532"/>
      <c r="C353" s="300">
        <v>1</v>
      </c>
      <c r="D353" s="300"/>
      <c r="E353" s="300"/>
      <c r="F353" s="300"/>
      <c r="G353" s="300"/>
      <c r="H353" s="353">
        <v>1200</v>
      </c>
    </row>
    <row r="354" spans="1:8" ht="15" customHeight="1">
      <c r="A354" s="532"/>
      <c r="B354" s="532"/>
      <c r="C354" s="300">
        <v>1</v>
      </c>
      <c r="D354" s="300"/>
      <c r="E354" s="300"/>
      <c r="F354" s="300"/>
      <c r="G354" s="300"/>
      <c r="H354" s="353">
        <v>520</v>
      </c>
    </row>
    <row r="355" spans="1:8" ht="15" customHeight="1">
      <c r="A355" s="532"/>
      <c r="B355" s="532"/>
      <c r="C355" s="300">
        <v>1</v>
      </c>
      <c r="D355" s="300"/>
      <c r="E355" s="300">
        <v>1</v>
      </c>
      <c r="F355" s="300">
        <v>1</v>
      </c>
      <c r="G355" s="300"/>
      <c r="H355" s="353">
        <v>600</v>
      </c>
    </row>
    <row r="356" spans="1:8" ht="15" customHeight="1">
      <c r="A356" s="532"/>
      <c r="B356" s="532"/>
      <c r="C356" s="300">
        <v>1</v>
      </c>
      <c r="D356" s="300"/>
      <c r="E356" s="300"/>
      <c r="F356" s="300"/>
      <c r="G356" s="300"/>
      <c r="H356" s="353">
        <v>600</v>
      </c>
    </row>
    <row r="357" spans="1:8" ht="15" customHeight="1">
      <c r="A357" s="532"/>
      <c r="B357" s="532"/>
      <c r="C357" s="300">
        <v>1</v>
      </c>
      <c r="D357" s="300"/>
      <c r="E357" s="300"/>
      <c r="F357" s="300"/>
      <c r="G357" s="300"/>
      <c r="H357" s="353">
        <v>1266</v>
      </c>
    </row>
    <row r="358" spans="1:8" ht="15" customHeight="1">
      <c r="A358" s="532"/>
      <c r="B358" s="532"/>
      <c r="C358" s="300">
        <v>1</v>
      </c>
      <c r="D358" s="300"/>
      <c r="E358" s="300"/>
      <c r="F358" s="300"/>
      <c r="G358" s="300"/>
      <c r="H358" s="353">
        <v>1800</v>
      </c>
    </row>
    <row r="359" spans="1:8" ht="15" customHeight="1">
      <c r="A359" s="532"/>
      <c r="B359" s="532"/>
      <c r="C359" s="300">
        <v>1</v>
      </c>
      <c r="D359" s="300">
        <v>1</v>
      </c>
      <c r="E359" s="300"/>
      <c r="F359" s="300">
        <v>1</v>
      </c>
      <c r="G359" s="300"/>
      <c r="H359" s="353">
        <v>300</v>
      </c>
    </row>
    <row r="360" spans="1:8" ht="15" customHeight="1">
      <c r="A360" s="532"/>
      <c r="B360" s="532"/>
      <c r="C360" s="300">
        <v>1</v>
      </c>
      <c r="D360" s="300"/>
      <c r="E360" s="300"/>
      <c r="F360" s="300"/>
      <c r="G360" s="300"/>
      <c r="H360" s="353">
        <v>300</v>
      </c>
    </row>
    <row r="361" spans="1:8" ht="15" customHeight="1">
      <c r="A361" s="532"/>
      <c r="B361" s="532"/>
      <c r="C361" s="300">
        <v>1</v>
      </c>
      <c r="D361" s="300"/>
      <c r="E361" s="300">
        <v>1</v>
      </c>
      <c r="F361" s="300"/>
      <c r="G361" s="300">
        <v>1</v>
      </c>
      <c r="H361" s="353">
        <v>800</v>
      </c>
    </row>
    <row r="362" spans="1:8" ht="15" customHeight="1">
      <c r="A362" s="532"/>
      <c r="B362" s="532"/>
      <c r="C362" s="300">
        <v>1</v>
      </c>
      <c r="D362" s="300"/>
      <c r="E362" s="300"/>
      <c r="F362" s="300"/>
      <c r="G362" s="300"/>
      <c r="H362" s="353">
        <v>70</v>
      </c>
    </row>
    <row r="363" spans="1:8" ht="15" customHeight="1">
      <c r="A363" s="532"/>
      <c r="B363" s="532"/>
      <c r="C363" s="300">
        <v>1</v>
      </c>
      <c r="D363" s="300"/>
      <c r="E363" s="300">
        <v>1</v>
      </c>
      <c r="F363" s="300"/>
      <c r="G363" s="300">
        <v>1</v>
      </c>
      <c r="H363" s="353">
        <v>550</v>
      </c>
    </row>
    <row r="364" spans="1:8" ht="15" customHeight="1">
      <c r="A364" s="532"/>
      <c r="B364" s="532"/>
      <c r="C364" s="300">
        <v>1</v>
      </c>
      <c r="D364" s="300"/>
      <c r="E364" s="300"/>
      <c r="F364" s="300"/>
      <c r="G364" s="300"/>
      <c r="H364" s="353">
        <v>235</v>
      </c>
    </row>
    <row r="365" spans="1:8" ht="15" customHeight="1">
      <c r="A365" s="532"/>
      <c r="B365" s="532"/>
      <c r="C365" s="300">
        <v>1</v>
      </c>
      <c r="D365" s="300"/>
      <c r="E365" s="300">
        <v>1</v>
      </c>
      <c r="F365" s="300"/>
      <c r="G365" s="300">
        <v>1</v>
      </c>
      <c r="H365" s="353">
        <v>4060</v>
      </c>
    </row>
    <row r="366" spans="1:8" ht="15" customHeight="1">
      <c r="A366" s="532"/>
      <c r="B366" s="532"/>
      <c r="C366" s="300">
        <v>1</v>
      </c>
      <c r="D366" s="300">
        <v>1</v>
      </c>
      <c r="E366" s="300"/>
      <c r="F366" s="300">
        <v>1</v>
      </c>
      <c r="G366" s="300"/>
      <c r="H366" s="353">
        <f>600+300</f>
        <v>900</v>
      </c>
    </row>
    <row r="367" spans="1:8" ht="15" customHeight="1">
      <c r="A367" s="532"/>
      <c r="B367" s="532"/>
      <c r="C367" s="300">
        <v>1</v>
      </c>
      <c r="D367" s="300"/>
      <c r="E367" s="300"/>
      <c r="F367" s="300"/>
      <c r="G367" s="300"/>
      <c r="H367" s="353">
        <v>110</v>
      </c>
    </row>
    <row r="368" spans="1:8" ht="15" customHeight="1">
      <c r="A368" s="532"/>
      <c r="B368" s="532"/>
      <c r="C368" s="300">
        <v>1</v>
      </c>
      <c r="D368" s="300"/>
      <c r="E368" s="300"/>
      <c r="F368" s="300"/>
      <c r="G368" s="300"/>
      <c r="H368" s="353">
        <v>980</v>
      </c>
    </row>
    <row r="369" spans="1:8" ht="15" customHeight="1">
      <c r="A369" s="532"/>
      <c r="B369" s="532"/>
      <c r="C369" s="300">
        <v>1</v>
      </c>
      <c r="D369" s="300">
        <v>1</v>
      </c>
      <c r="E369" s="300"/>
      <c r="F369" s="300">
        <v>1</v>
      </c>
      <c r="G369" s="300"/>
      <c r="H369" s="353">
        <v>200</v>
      </c>
    </row>
    <row r="370" spans="1:10" ht="15" customHeight="1">
      <c r="A370" s="532"/>
      <c r="B370" s="532"/>
      <c r="C370" s="300">
        <v>1</v>
      </c>
      <c r="D370" s="300">
        <v>1</v>
      </c>
      <c r="E370" s="300"/>
      <c r="F370" s="300"/>
      <c r="G370" s="300">
        <v>1</v>
      </c>
      <c r="H370" s="353">
        <v>800</v>
      </c>
      <c r="J370" s="83"/>
    </row>
    <row r="371" spans="1:8" ht="15" customHeight="1">
      <c r="A371" s="541"/>
      <c r="B371" s="541"/>
      <c r="C371" s="359">
        <v>1</v>
      </c>
      <c r="D371" s="359"/>
      <c r="E371" s="359">
        <v>1</v>
      </c>
      <c r="F371" s="359"/>
      <c r="G371" s="359">
        <v>1</v>
      </c>
      <c r="H371" s="369">
        <v>4345</v>
      </c>
    </row>
    <row r="372" spans="1:8" ht="17.25" customHeight="1">
      <c r="A372" s="373" t="s">
        <v>264</v>
      </c>
      <c r="B372" s="317" t="s">
        <v>230</v>
      </c>
      <c r="C372" s="300"/>
      <c r="D372" s="300"/>
      <c r="E372" s="300"/>
      <c r="F372" s="300"/>
      <c r="G372" s="300"/>
      <c r="H372" s="353">
        <v>4672.5</v>
      </c>
    </row>
    <row r="373" spans="1:9" ht="12.75" customHeight="1">
      <c r="A373" s="373" t="s">
        <v>264</v>
      </c>
      <c r="B373" s="317" t="s">
        <v>171</v>
      </c>
      <c r="C373" s="300"/>
      <c r="D373" s="300"/>
      <c r="E373" s="300"/>
      <c r="F373" s="300"/>
      <c r="G373" s="300"/>
      <c r="H373" s="353">
        <v>2227</v>
      </c>
      <c r="I373" s="83"/>
    </row>
    <row r="374" spans="1:8" ht="15" customHeight="1">
      <c r="A374" s="350" t="s">
        <v>57</v>
      </c>
      <c r="B374" s="317"/>
      <c r="C374" s="300"/>
      <c r="D374" s="300"/>
      <c r="E374" s="300"/>
      <c r="F374" s="300"/>
      <c r="G374" s="300"/>
      <c r="H374" s="353">
        <f>5814+2299-480</f>
        <v>7633</v>
      </c>
    </row>
    <row r="375" spans="1:8" s="161" customFormat="1" ht="15" customHeight="1">
      <c r="A375" s="41" t="s">
        <v>83</v>
      </c>
      <c r="B375" s="145"/>
      <c r="C375" s="112">
        <f>SUM(C299:C374)</f>
        <v>73</v>
      </c>
      <c r="D375" s="113"/>
      <c r="E375" s="113"/>
      <c r="F375" s="113"/>
      <c r="G375" s="113"/>
      <c r="H375" s="147">
        <f>SUM(H299:H371)</f>
        <v>93123.18</v>
      </c>
    </row>
    <row r="376" spans="1:8" s="162" customFormat="1" ht="15" customHeight="1">
      <c r="A376" s="39" t="s">
        <v>181</v>
      </c>
      <c r="B376" s="110"/>
      <c r="C376" s="103">
        <f>C375+C297+C282+C241+C226+C206+C169+C148+C28</f>
        <v>341</v>
      </c>
      <c r="D376" s="111"/>
      <c r="E376" s="111"/>
      <c r="F376" s="111"/>
      <c r="G376" s="111"/>
      <c r="H376" s="148">
        <f>H28+H148+H169+H206+H226+H241+H282+H297+H375</f>
        <v>337580.39</v>
      </c>
    </row>
    <row r="378" ht="12.75">
      <c r="I378" s="83"/>
    </row>
    <row r="379" ht="12.75">
      <c r="I379" s="83"/>
    </row>
  </sheetData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H113"/>
  <sheetViews>
    <sheetView workbookViewId="0" topLeftCell="A88">
      <selection activeCell="A6" sqref="A6:A13"/>
    </sheetView>
  </sheetViews>
  <sheetFormatPr defaultColWidth="9.140625" defaultRowHeight="12.75"/>
  <cols>
    <col min="1" max="1" width="42.00390625" style="56" customWidth="1"/>
    <col min="2" max="2" width="10.57421875" style="33" customWidth="1"/>
    <col min="3" max="3" width="16.421875" style="33" customWidth="1"/>
    <col min="4" max="4" width="38.140625" style="34" customWidth="1"/>
    <col min="5" max="16384" width="11.57421875" style="54" customWidth="1"/>
  </cols>
  <sheetData>
    <row r="1" spans="1:5" s="48" customFormat="1" ht="30" customHeight="1">
      <c r="A1" s="545" t="s">
        <v>357</v>
      </c>
      <c r="B1" s="545"/>
      <c r="C1" s="545"/>
      <c r="D1" s="545"/>
      <c r="E1" s="94">
        <v>40071157</v>
      </c>
    </row>
    <row r="2" spans="1:4" s="49" customFormat="1" ht="39" customHeight="1">
      <c r="A2" s="551" t="s">
        <v>159</v>
      </c>
      <c r="B2" s="570"/>
      <c r="C2" s="570"/>
      <c r="D2" s="570"/>
    </row>
    <row r="3" spans="1:4" s="50" customFormat="1" ht="15" customHeight="1">
      <c r="A3" s="42" t="s">
        <v>12</v>
      </c>
      <c r="B3" s="29" t="s">
        <v>160</v>
      </c>
      <c r="C3" s="29" t="s">
        <v>163</v>
      </c>
      <c r="D3" s="79" t="s">
        <v>268</v>
      </c>
    </row>
    <row r="4" spans="1:4" s="51" customFormat="1" ht="15" customHeight="1">
      <c r="A4" s="37" t="s">
        <v>26</v>
      </c>
      <c r="B4" s="29"/>
      <c r="C4" s="29"/>
      <c r="D4" s="374"/>
    </row>
    <row r="5" spans="1:4" s="267" customFormat="1" ht="15" customHeight="1">
      <c r="A5" s="375" t="s">
        <v>368</v>
      </c>
      <c r="B5" s="376"/>
      <c r="C5" s="376"/>
      <c r="D5" s="353">
        <v>1260.03</v>
      </c>
    </row>
    <row r="6" spans="1:4" s="53" customFormat="1" ht="15" customHeight="1">
      <c r="A6" s="536"/>
      <c r="B6" s="301">
        <v>1</v>
      </c>
      <c r="C6" s="301"/>
      <c r="D6" s="353">
        <v>166.5</v>
      </c>
    </row>
    <row r="7" spans="1:4" s="53" customFormat="1" ht="15" customHeight="1">
      <c r="A7" s="536"/>
      <c r="B7" s="301">
        <v>1</v>
      </c>
      <c r="C7" s="301"/>
      <c r="D7" s="353">
        <f>251.6+222+222</f>
        <v>695.6</v>
      </c>
    </row>
    <row r="8" spans="1:4" s="53" customFormat="1" ht="15" customHeight="1">
      <c r="A8" s="536"/>
      <c r="B8" s="301">
        <v>1</v>
      </c>
      <c r="C8" s="301"/>
      <c r="D8" s="353">
        <f>166.5+19.55+222</f>
        <v>408.05</v>
      </c>
    </row>
    <row r="9" spans="1:4" s="53" customFormat="1" ht="15" customHeight="1">
      <c r="A9" s="536"/>
      <c r="B9" s="301">
        <v>1</v>
      </c>
      <c r="C9" s="301"/>
      <c r="D9" s="353">
        <v>440.3</v>
      </c>
    </row>
    <row r="10" spans="1:4" s="53" customFormat="1" ht="15" customHeight="1">
      <c r="A10" s="536"/>
      <c r="B10" s="301">
        <v>1</v>
      </c>
      <c r="C10" s="301">
        <v>1993</v>
      </c>
      <c r="D10" s="353">
        <f>270.1+148+125.8</f>
        <v>543.9</v>
      </c>
    </row>
    <row r="11" spans="1:4" s="53" customFormat="1" ht="15" customHeight="1">
      <c r="A11" s="536"/>
      <c r="B11" s="301">
        <v>1</v>
      </c>
      <c r="C11" s="301"/>
      <c r="D11" s="353">
        <v>177.6</v>
      </c>
    </row>
    <row r="12" spans="1:4" s="53" customFormat="1" ht="15" customHeight="1">
      <c r="A12" s="536"/>
      <c r="B12" s="301">
        <v>1</v>
      </c>
      <c r="C12" s="301"/>
      <c r="D12" s="353">
        <f>388.5+351.5+166.5</f>
        <v>906.5</v>
      </c>
    </row>
    <row r="13" spans="1:4" s="53" customFormat="1" ht="15" customHeight="1">
      <c r="A13" s="536"/>
      <c r="B13" s="301">
        <v>1</v>
      </c>
      <c r="C13" s="301"/>
      <c r="D13" s="353">
        <v>236.8</v>
      </c>
    </row>
    <row r="14" spans="1:4" s="72" customFormat="1" ht="15" customHeight="1">
      <c r="A14" s="41" t="s">
        <v>40</v>
      </c>
      <c r="B14" s="121">
        <f>SUM(B6:B13)</f>
        <v>8</v>
      </c>
      <c r="C14" s="113"/>
      <c r="D14" s="147">
        <f>SUM(D5:D13)</f>
        <v>4835.280000000001</v>
      </c>
    </row>
    <row r="15" spans="1:4" s="51" customFormat="1" ht="15" customHeight="1">
      <c r="A15" s="37" t="s">
        <v>24</v>
      </c>
      <c r="B15" s="29"/>
      <c r="C15" s="29"/>
      <c r="D15" s="167"/>
    </row>
    <row r="16" spans="1:4" s="267" customFormat="1" ht="15" customHeight="1">
      <c r="A16" s="375" t="s">
        <v>368</v>
      </c>
      <c r="B16" s="376"/>
      <c r="C16" s="376"/>
      <c r="D16" s="353">
        <f>679.53-640.74</f>
        <v>38.789999999999964</v>
      </c>
    </row>
    <row r="17" spans="1:5" s="73" customFormat="1" ht="15" customHeight="1">
      <c r="A17" s="536"/>
      <c r="B17" s="300">
        <v>1</v>
      </c>
      <c r="C17" s="300">
        <v>1993</v>
      </c>
      <c r="D17" s="353">
        <v>2760.2</v>
      </c>
      <c r="E17" s="223"/>
    </row>
    <row r="18" spans="1:4" s="73" customFormat="1" ht="15" customHeight="1">
      <c r="A18" s="536"/>
      <c r="B18" s="300">
        <v>1</v>
      </c>
      <c r="C18" s="300"/>
      <c r="D18" s="353">
        <v>358.9</v>
      </c>
    </row>
    <row r="19" spans="1:4" s="73" customFormat="1" ht="15" customHeight="1">
      <c r="A19" s="536"/>
      <c r="B19" s="300">
        <v>1</v>
      </c>
      <c r="C19" s="300"/>
      <c r="D19" s="353">
        <v>44.4</v>
      </c>
    </row>
    <row r="20" spans="1:4" s="73" customFormat="1" ht="15" customHeight="1">
      <c r="A20" s="536"/>
      <c r="B20" s="300">
        <v>1</v>
      </c>
      <c r="C20" s="300"/>
      <c r="D20" s="353">
        <f>162.8+207.2+177.6</f>
        <v>547.6</v>
      </c>
    </row>
    <row r="21" spans="1:4" s="73" customFormat="1" ht="15" customHeight="1">
      <c r="A21" s="536"/>
      <c r="B21" s="300">
        <v>1</v>
      </c>
      <c r="C21" s="300"/>
      <c r="D21" s="353">
        <v>288.6</v>
      </c>
    </row>
    <row r="22" spans="1:4" s="73" customFormat="1" ht="15" customHeight="1">
      <c r="A22" s="536"/>
      <c r="B22" s="300">
        <v>1</v>
      </c>
      <c r="C22" s="300">
        <v>1994</v>
      </c>
      <c r="D22" s="353">
        <f>118.4+192.4+236.8</f>
        <v>547.6</v>
      </c>
    </row>
    <row r="23" spans="1:4" s="73" customFormat="1" ht="15" customHeight="1">
      <c r="A23" s="536"/>
      <c r="B23" s="300">
        <v>1</v>
      </c>
      <c r="C23" s="300"/>
      <c r="D23" s="353">
        <v>433</v>
      </c>
    </row>
    <row r="24" spans="1:4" s="73" customFormat="1" ht="15" customHeight="1">
      <c r="A24" s="536"/>
      <c r="B24" s="300">
        <v>1</v>
      </c>
      <c r="C24" s="300"/>
      <c r="D24" s="353">
        <v>210.9</v>
      </c>
    </row>
    <row r="25" spans="1:4" s="73" customFormat="1" ht="15" customHeight="1">
      <c r="A25" s="536"/>
      <c r="B25" s="300">
        <v>1</v>
      </c>
      <c r="C25" s="300"/>
      <c r="D25" s="353">
        <v>486.16</v>
      </c>
    </row>
    <row r="26" spans="1:4" s="73" customFormat="1" ht="15" customHeight="1">
      <c r="A26" s="536"/>
      <c r="B26" s="300">
        <v>1</v>
      </c>
      <c r="C26" s="300">
        <v>1994</v>
      </c>
      <c r="D26" s="353">
        <f>296+314.5</f>
        <v>610.5</v>
      </c>
    </row>
    <row r="27" spans="1:4" s="73" customFormat="1" ht="15" customHeight="1">
      <c r="A27" s="536"/>
      <c r="B27" s="300">
        <v>1</v>
      </c>
      <c r="C27" s="300">
        <v>1993</v>
      </c>
      <c r="D27" s="353">
        <v>148</v>
      </c>
    </row>
    <row r="28" spans="1:4" s="73" customFormat="1" ht="15" customHeight="1">
      <c r="A28" s="536"/>
      <c r="B28" s="300">
        <v>1</v>
      </c>
      <c r="C28" s="300"/>
      <c r="D28" s="353">
        <f>310.8+281.2+111</f>
        <v>703</v>
      </c>
    </row>
    <row r="29" spans="1:4" s="73" customFormat="1" ht="15" customHeight="1">
      <c r="A29" s="536"/>
      <c r="B29" s="300">
        <v>1</v>
      </c>
      <c r="C29" s="300"/>
      <c r="D29" s="353">
        <v>621.6</v>
      </c>
    </row>
    <row r="30" spans="1:8" s="73" customFormat="1" ht="15" customHeight="1">
      <c r="A30" s="536"/>
      <c r="B30" s="300">
        <v>1</v>
      </c>
      <c r="C30" s="300"/>
      <c r="D30" s="353">
        <f>155.4+288.6+281.2</f>
        <v>725.2</v>
      </c>
      <c r="H30" s="223"/>
    </row>
    <row r="31" spans="1:4" s="73" customFormat="1" ht="15" customHeight="1">
      <c r="A31" s="536"/>
      <c r="B31" s="300">
        <v>1</v>
      </c>
      <c r="C31" s="300"/>
      <c r="D31" s="353">
        <f>111+111+114.7</f>
        <v>336.7</v>
      </c>
    </row>
    <row r="32" spans="1:4" s="73" customFormat="1" ht="15" customHeight="1">
      <c r="A32" s="536"/>
      <c r="B32" s="300">
        <v>1</v>
      </c>
      <c r="C32" s="300">
        <v>1993</v>
      </c>
      <c r="D32" s="353">
        <v>120</v>
      </c>
    </row>
    <row r="33" spans="1:4" s="73" customFormat="1" ht="15" customHeight="1">
      <c r="A33" s="536"/>
      <c r="B33" s="300">
        <v>1</v>
      </c>
      <c r="C33" s="300"/>
      <c r="D33" s="353">
        <v>296</v>
      </c>
    </row>
    <row r="34" spans="1:4" s="73" customFormat="1" ht="15" customHeight="1">
      <c r="A34" s="536"/>
      <c r="B34" s="300">
        <v>1</v>
      </c>
      <c r="C34" s="300">
        <v>1993</v>
      </c>
      <c r="D34" s="353">
        <f>266.4+118.4</f>
        <v>384.79999999999995</v>
      </c>
    </row>
    <row r="35" spans="1:4" s="73" customFormat="1" ht="15" customHeight="1">
      <c r="A35" s="536"/>
      <c r="B35" s="300">
        <v>1</v>
      </c>
      <c r="C35" s="300">
        <v>1995</v>
      </c>
      <c r="D35" s="353">
        <f>162.8+74</f>
        <v>236.8</v>
      </c>
    </row>
    <row r="36" spans="1:6" s="73" customFormat="1" ht="15" customHeight="1">
      <c r="A36" s="536"/>
      <c r="B36" s="300">
        <v>1</v>
      </c>
      <c r="C36" s="300">
        <v>1995</v>
      </c>
      <c r="D36" s="353">
        <v>162.8</v>
      </c>
      <c r="F36" s="223"/>
    </row>
    <row r="37" spans="1:4" s="73" customFormat="1" ht="15" customHeight="1">
      <c r="A37" s="536"/>
      <c r="B37" s="300">
        <v>1</v>
      </c>
      <c r="C37" s="300"/>
      <c r="D37" s="353">
        <f>162.8+177.6</f>
        <v>340.4</v>
      </c>
    </row>
    <row r="38" spans="1:4" s="73" customFormat="1" ht="15" customHeight="1">
      <c r="A38" s="536"/>
      <c r="B38" s="300">
        <v>1</v>
      </c>
      <c r="C38" s="300"/>
      <c r="D38" s="353">
        <f>355.4+636.4</f>
        <v>991.8</v>
      </c>
    </row>
    <row r="39" spans="1:4" s="73" customFormat="1" ht="15" customHeight="1">
      <c r="A39" s="536"/>
      <c r="B39" s="300">
        <v>1</v>
      </c>
      <c r="C39" s="300">
        <v>1994</v>
      </c>
      <c r="D39" s="353">
        <v>629</v>
      </c>
    </row>
    <row r="40" spans="1:4" s="72" customFormat="1" ht="15" customHeight="1">
      <c r="A40" s="41" t="s">
        <v>204</v>
      </c>
      <c r="B40" s="121">
        <f>SUM(B17:B39)</f>
        <v>23</v>
      </c>
      <c r="C40" s="121"/>
      <c r="D40" s="147">
        <f>SUM(D16:D39)</f>
        <v>12022.749999999998</v>
      </c>
    </row>
    <row r="41" spans="1:4" s="51" customFormat="1" ht="15" customHeight="1">
      <c r="A41" s="37" t="s">
        <v>27</v>
      </c>
      <c r="B41" s="29"/>
      <c r="C41" s="29"/>
      <c r="D41" s="167"/>
    </row>
    <row r="42" spans="1:4" s="267" customFormat="1" ht="15" customHeight="1">
      <c r="A42" s="375" t="s">
        <v>368</v>
      </c>
      <c r="B42" s="376"/>
      <c r="C42" s="376"/>
      <c r="D42" s="353">
        <v>456.9</v>
      </c>
    </row>
    <row r="43" spans="1:4" s="73" customFormat="1" ht="15" customHeight="1">
      <c r="A43" s="536"/>
      <c r="B43" s="300">
        <v>1</v>
      </c>
      <c r="C43" s="300"/>
      <c r="D43" s="353">
        <f>99.9+25.9</f>
        <v>125.80000000000001</v>
      </c>
    </row>
    <row r="44" spans="1:4" s="73" customFormat="1" ht="15" customHeight="1">
      <c r="A44" s="536"/>
      <c r="B44" s="300">
        <v>1</v>
      </c>
      <c r="C44" s="300"/>
      <c r="D44" s="353">
        <v>296</v>
      </c>
    </row>
    <row r="45" spans="1:7" s="73" customFormat="1" ht="15" customHeight="1">
      <c r="A45" s="536"/>
      <c r="B45" s="300">
        <v>1</v>
      </c>
      <c r="C45" s="300"/>
      <c r="D45" s="353">
        <f>399.6+384.8+236.8</f>
        <v>1021.2</v>
      </c>
      <c r="G45" s="223"/>
    </row>
    <row r="46" spans="1:4" s="73" customFormat="1" ht="15" customHeight="1">
      <c r="A46" s="536"/>
      <c r="B46" s="300">
        <v>1</v>
      </c>
      <c r="C46" s="300">
        <v>1995</v>
      </c>
      <c r="D46" s="353">
        <f>131.35+155.4+77.7</f>
        <v>364.45</v>
      </c>
    </row>
    <row r="47" spans="1:4" s="72" customFormat="1" ht="15" customHeight="1">
      <c r="A47" s="41" t="s">
        <v>188</v>
      </c>
      <c r="B47" s="112">
        <f>SUM(B43:B46)</f>
        <v>4</v>
      </c>
      <c r="C47" s="113"/>
      <c r="D47" s="147">
        <f>SUM(D42:D46)</f>
        <v>2264.35</v>
      </c>
    </row>
    <row r="48" spans="1:6" s="51" customFormat="1" ht="15" customHeight="1">
      <c r="A48" s="37" t="s">
        <v>28</v>
      </c>
      <c r="B48" s="29"/>
      <c r="C48" s="29"/>
      <c r="D48" s="167"/>
      <c r="F48" s="126"/>
    </row>
    <row r="49" spans="1:4" s="267" customFormat="1" ht="15" customHeight="1">
      <c r="A49" s="375" t="s">
        <v>368</v>
      </c>
      <c r="B49" s="376"/>
      <c r="C49" s="376"/>
      <c r="D49" s="353">
        <v>701.25</v>
      </c>
    </row>
    <row r="50" spans="1:4" s="53" customFormat="1" ht="15" customHeight="1">
      <c r="A50" s="536"/>
      <c r="B50" s="301">
        <v>1</v>
      </c>
      <c r="C50" s="301"/>
      <c r="D50" s="353">
        <f>148+74</f>
        <v>222</v>
      </c>
    </row>
    <row r="51" spans="1:4" s="53" customFormat="1" ht="15" customHeight="1">
      <c r="A51" s="536"/>
      <c r="B51" s="301">
        <v>1</v>
      </c>
      <c r="C51" s="301">
        <v>1995</v>
      </c>
      <c r="D51" s="353">
        <f>200+177.6+162.8</f>
        <v>540.4000000000001</v>
      </c>
    </row>
    <row r="52" spans="1:4" s="53" customFormat="1" ht="15" customHeight="1">
      <c r="A52" s="536"/>
      <c r="B52" s="301">
        <v>1</v>
      </c>
      <c r="C52" s="301">
        <v>1995</v>
      </c>
      <c r="D52" s="353">
        <f>103.6+133.2+162.8</f>
        <v>399.6</v>
      </c>
    </row>
    <row r="53" spans="1:4" s="53" customFormat="1" ht="15" customHeight="1">
      <c r="A53" s="536"/>
      <c r="B53" s="301">
        <v>1</v>
      </c>
      <c r="C53" s="301"/>
      <c r="D53" s="353">
        <f>399.6+466.2+62.9</f>
        <v>928.6999999999999</v>
      </c>
    </row>
    <row r="54" spans="1:4" s="53" customFormat="1" ht="15" customHeight="1">
      <c r="A54" s="536"/>
      <c r="B54" s="301">
        <v>1</v>
      </c>
      <c r="C54" s="301"/>
      <c r="D54" s="353">
        <v>160</v>
      </c>
    </row>
    <row r="55" spans="1:4" s="53" customFormat="1" ht="15" customHeight="1">
      <c r="A55" s="536"/>
      <c r="B55" s="301">
        <v>1</v>
      </c>
      <c r="C55" s="301">
        <v>1995</v>
      </c>
      <c r="D55" s="353">
        <v>120</v>
      </c>
    </row>
    <row r="56" spans="1:4" s="53" customFormat="1" ht="15" customHeight="1">
      <c r="A56" s="536"/>
      <c r="B56" s="301">
        <v>1</v>
      </c>
      <c r="C56" s="301">
        <v>1995</v>
      </c>
      <c r="D56" s="353">
        <f>62.9+321.9</f>
        <v>384.79999999999995</v>
      </c>
    </row>
    <row r="57" spans="1:4" s="53" customFormat="1" ht="15" customHeight="1">
      <c r="A57" s="536"/>
      <c r="B57" s="301">
        <v>1</v>
      </c>
      <c r="C57" s="301">
        <v>1995</v>
      </c>
      <c r="D57" s="353">
        <f>153.55+83.25</f>
        <v>236.8</v>
      </c>
    </row>
    <row r="58" spans="1:4" s="53" customFormat="1" ht="15" customHeight="1">
      <c r="A58" s="536"/>
      <c r="B58" s="301">
        <v>1</v>
      </c>
      <c r="C58" s="301"/>
      <c r="D58" s="353">
        <v>80</v>
      </c>
    </row>
    <row r="59" spans="1:4" s="73" customFormat="1" ht="15" customHeight="1">
      <c r="A59" s="536"/>
      <c r="B59" s="300">
        <v>1</v>
      </c>
      <c r="C59" s="300"/>
      <c r="D59" s="353">
        <f>29.6+44.4+44.4+133.2+74</f>
        <v>325.6</v>
      </c>
    </row>
    <row r="60" spans="1:4" s="73" customFormat="1" ht="15" customHeight="1">
      <c r="A60" s="536"/>
      <c r="B60" s="300">
        <v>1</v>
      </c>
      <c r="C60" s="300"/>
      <c r="D60" s="353">
        <v>80</v>
      </c>
    </row>
    <row r="61" spans="1:4" s="72" customFormat="1" ht="15" customHeight="1">
      <c r="A61" s="41" t="s">
        <v>67</v>
      </c>
      <c r="B61" s="121">
        <f>SUM(B50:B60)</f>
        <v>11</v>
      </c>
      <c r="C61" s="113"/>
      <c r="D61" s="147">
        <f>SUM(D49:D60)</f>
        <v>4179.150000000001</v>
      </c>
    </row>
    <row r="62" spans="1:4" s="51" customFormat="1" ht="15" customHeight="1">
      <c r="A62" s="37" t="s">
        <v>25</v>
      </c>
      <c r="B62" s="29"/>
      <c r="C62" s="29"/>
      <c r="D62" s="167"/>
    </row>
    <row r="63" spans="1:4" s="267" customFormat="1" ht="15" customHeight="1">
      <c r="A63" s="375" t="s">
        <v>368</v>
      </c>
      <c r="B63" s="376"/>
      <c r="C63" s="376"/>
      <c r="D63" s="353">
        <v>1065.6</v>
      </c>
    </row>
    <row r="64" spans="1:4" s="73" customFormat="1" ht="15" customHeight="1">
      <c r="A64" s="536"/>
      <c r="B64" s="300">
        <v>1</v>
      </c>
      <c r="C64" s="300"/>
      <c r="D64" s="353">
        <v>296</v>
      </c>
    </row>
    <row r="65" spans="1:4" s="73" customFormat="1" ht="15" customHeight="1">
      <c r="A65" s="536"/>
      <c r="B65" s="300">
        <v>1</v>
      </c>
      <c r="C65" s="300"/>
      <c r="D65" s="353">
        <v>185</v>
      </c>
    </row>
    <row r="66" spans="1:4" s="73" customFormat="1" ht="14.25" customHeight="1">
      <c r="A66" s="536"/>
      <c r="B66" s="300">
        <v>1</v>
      </c>
      <c r="C66" s="300"/>
      <c r="D66" s="353">
        <v>155.4</v>
      </c>
    </row>
    <row r="67" spans="1:4" s="73" customFormat="1" ht="15" customHeight="1">
      <c r="A67" s="536"/>
      <c r="B67" s="300">
        <v>1</v>
      </c>
      <c r="C67" s="300">
        <v>1993</v>
      </c>
      <c r="D67" s="353">
        <v>103.6</v>
      </c>
    </row>
    <row r="68" spans="1:4" s="73" customFormat="1" ht="15" customHeight="1">
      <c r="A68" s="536"/>
      <c r="B68" s="300">
        <v>1</v>
      </c>
      <c r="C68" s="300">
        <v>1992</v>
      </c>
      <c r="D68" s="353">
        <f>116.55+129.5</f>
        <v>246.05</v>
      </c>
    </row>
    <row r="69" spans="1:7" s="73" customFormat="1" ht="15" customHeight="1">
      <c r="A69" s="536"/>
      <c r="B69" s="300">
        <v>1</v>
      </c>
      <c r="C69" s="300"/>
      <c r="D69" s="353">
        <f>632.7+222</f>
        <v>854.7</v>
      </c>
      <c r="G69" s="223"/>
    </row>
    <row r="70" spans="1:7" s="73" customFormat="1" ht="15" customHeight="1">
      <c r="A70" s="536"/>
      <c r="B70" s="300">
        <v>1</v>
      </c>
      <c r="C70" s="300"/>
      <c r="D70" s="353">
        <v>281.2</v>
      </c>
      <c r="G70" s="223"/>
    </row>
    <row r="71" spans="1:4" s="73" customFormat="1" ht="15" customHeight="1">
      <c r="A71" s="536"/>
      <c r="B71" s="300">
        <v>1</v>
      </c>
      <c r="C71" s="300">
        <v>1993</v>
      </c>
      <c r="D71" s="353">
        <f>569.8+444+466.2</f>
        <v>1480</v>
      </c>
    </row>
    <row r="72" spans="1:4" s="73" customFormat="1" ht="15" customHeight="1">
      <c r="A72" s="536"/>
      <c r="B72" s="300">
        <v>1</v>
      </c>
      <c r="C72" s="300"/>
      <c r="D72" s="353">
        <f>59.2+148+118.4</f>
        <v>325.6</v>
      </c>
    </row>
    <row r="73" spans="1:4" ht="15" customHeight="1">
      <c r="A73" s="86" t="s">
        <v>174</v>
      </c>
      <c r="B73" s="111">
        <f>SUM(B64:B72)</f>
        <v>9</v>
      </c>
      <c r="C73" s="111"/>
      <c r="D73" s="147">
        <f>SUM(D63:D72)</f>
        <v>4993.150000000001</v>
      </c>
    </row>
    <row r="74" spans="1:4" s="51" customFormat="1" ht="15" customHeight="1">
      <c r="A74" s="37" t="s">
        <v>29</v>
      </c>
      <c r="B74" s="29"/>
      <c r="C74" s="29"/>
      <c r="D74" s="167"/>
    </row>
    <row r="75" spans="1:4" s="267" customFormat="1" ht="15" customHeight="1">
      <c r="A75" s="375" t="s">
        <v>368</v>
      </c>
      <c r="B75" s="376"/>
      <c r="C75" s="376"/>
      <c r="D75" s="353">
        <v>578.17</v>
      </c>
    </row>
    <row r="76" spans="1:4" s="53" customFormat="1" ht="15" customHeight="1">
      <c r="A76" s="536"/>
      <c r="B76" s="301">
        <v>1</v>
      </c>
      <c r="C76" s="301">
        <v>1994</v>
      </c>
      <c r="D76" s="353">
        <f>222+111</f>
        <v>333</v>
      </c>
    </row>
    <row r="77" spans="1:4" s="53" customFormat="1" ht="15" customHeight="1">
      <c r="A77" s="536"/>
      <c r="B77" s="301">
        <v>1</v>
      </c>
      <c r="C77" s="301"/>
      <c r="D77" s="353">
        <f>370+592</f>
        <v>962</v>
      </c>
    </row>
    <row r="78" spans="1:4" s="53" customFormat="1" ht="15" customHeight="1">
      <c r="A78" s="536"/>
      <c r="B78" s="301">
        <v>1</v>
      </c>
      <c r="C78" s="301"/>
      <c r="D78" s="353">
        <v>90</v>
      </c>
    </row>
    <row r="79" spans="1:4" s="73" customFormat="1" ht="15" customHeight="1">
      <c r="A79" s="536"/>
      <c r="B79" s="300">
        <v>1</v>
      </c>
      <c r="C79" s="300">
        <v>1994</v>
      </c>
      <c r="D79" s="363">
        <f>103.6+118.4+133.2+177.6+162.8</f>
        <v>695.5999999999999</v>
      </c>
    </row>
    <row r="80" spans="1:4" s="73" customFormat="1" ht="15" customHeight="1">
      <c r="A80" s="536"/>
      <c r="B80" s="300">
        <v>1</v>
      </c>
      <c r="C80" s="300"/>
      <c r="D80" s="363">
        <v>150</v>
      </c>
    </row>
    <row r="81" spans="1:4" s="72" customFormat="1" ht="15" customHeight="1">
      <c r="A81" s="41" t="s">
        <v>213</v>
      </c>
      <c r="B81" s="121">
        <f>SUM(B76:B80)</f>
        <v>5</v>
      </c>
      <c r="C81" s="113"/>
      <c r="D81" s="147">
        <f>SUM(D75:D80)</f>
        <v>2808.77</v>
      </c>
    </row>
    <row r="82" spans="1:4" s="51" customFormat="1" ht="15" customHeight="1">
      <c r="A82" s="37" t="s">
        <v>30</v>
      </c>
      <c r="B82" s="89"/>
      <c r="C82" s="29"/>
      <c r="D82" s="167"/>
    </row>
    <row r="83" spans="1:4" s="267" customFormat="1" ht="15" customHeight="1">
      <c r="A83" s="375" t="s">
        <v>368</v>
      </c>
      <c r="B83" s="376"/>
      <c r="C83" s="376"/>
      <c r="D83" s="353">
        <v>1899.65</v>
      </c>
    </row>
    <row r="84" spans="1:4" s="53" customFormat="1" ht="15" customHeight="1">
      <c r="A84" s="536"/>
      <c r="B84" s="361">
        <v>1</v>
      </c>
      <c r="C84" s="301"/>
      <c r="D84" s="353">
        <f>148+74</f>
        <v>222</v>
      </c>
    </row>
    <row r="85" spans="1:4" s="53" customFormat="1" ht="15" customHeight="1">
      <c r="A85" s="536"/>
      <c r="B85" s="361">
        <v>1</v>
      </c>
      <c r="C85" s="301">
        <v>1995</v>
      </c>
      <c r="D85" s="353">
        <f>177.6+207.2+162.8+118.4+88.8</f>
        <v>754.7999999999998</v>
      </c>
    </row>
    <row r="86" spans="1:4" s="53" customFormat="1" ht="15" customHeight="1">
      <c r="A86" s="536"/>
      <c r="B86" s="361">
        <v>1</v>
      </c>
      <c r="C86" s="301"/>
      <c r="D86" s="353">
        <f>296+621.6</f>
        <v>917.6</v>
      </c>
    </row>
    <row r="87" spans="1:4" s="53" customFormat="1" ht="15" customHeight="1">
      <c r="A87" s="536"/>
      <c r="B87" s="361">
        <v>1</v>
      </c>
      <c r="C87" s="301"/>
      <c r="D87" s="353">
        <f>199.8+222</f>
        <v>421.8</v>
      </c>
    </row>
    <row r="88" spans="1:4" s="53" customFormat="1" ht="15" customHeight="1">
      <c r="A88" s="536"/>
      <c r="B88" s="361">
        <v>1</v>
      </c>
      <c r="C88" s="301"/>
      <c r="D88" s="353">
        <v>573.5</v>
      </c>
    </row>
    <row r="89" spans="1:4" s="53" customFormat="1" ht="15" customHeight="1">
      <c r="A89" s="536"/>
      <c r="B89" s="361">
        <v>1</v>
      </c>
      <c r="C89" s="301"/>
      <c r="D89" s="353">
        <f>155.4+142.45</f>
        <v>297.85</v>
      </c>
    </row>
    <row r="90" spans="1:4" s="73" customFormat="1" ht="15" customHeight="1">
      <c r="A90" s="536"/>
      <c r="B90" s="300">
        <v>1</v>
      </c>
      <c r="C90" s="300"/>
      <c r="D90" s="353">
        <f>394.05+29.6</f>
        <v>423.65000000000003</v>
      </c>
    </row>
    <row r="91" spans="1:4" s="73" customFormat="1" ht="15" customHeight="1">
      <c r="A91" s="536"/>
      <c r="B91" s="300">
        <v>1</v>
      </c>
      <c r="C91" s="300"/>
      <c r="D91" s="353">
        <v>473.6</v>
      </c>
    </row>
    <row r="92" spans="1:4" s="73" customFormat="1" ht="15" customHeight="1">
      <c r="A92" s="536"/>
      <c r="B92" s="300">
        <v>1</v>
      </c>
      <c r="C92" s="300"/>
      <c r="D92" s="353">
        <v>103.6</v>
      </c>
    </row>
    <row r="93" spans="1:4" s="73" customFormat="1" ht="15" customHeight="1">
      <c r="A93" s="536"/>
      <c r="B93" s="300">
        <v>1</v>
      </c>
      <c r="C93" s="300"/>
      <c r="D93" s="353">
        <v>194.25</v>
      </c>
    </row>
    <row r="94" spans="1:4" s="72" customFormat="1" ht="15" customHeight="1">
      <c r="A94" s="41" t="s">
        <v>175</v>
      </c>
      <c r="B94" s="121">
        <f>SUM(B84:B93)</f>
        <v>10</v>
      </c>
      <c r="C94" s="113"/>
      <c r="D94" s="147">
        <f>SUM(D83:D93)</f>
        <v>6282.3</v>
      </c>
    </row>
    <row r="95" spans="1:4" s="51" customFormat="1" ht="15" customHeight="1">
      <c r="A95" s="37" t="s">
        <v>31</v>
      </c>
      <c r="B95" s="29"/>
      <c r="C95" s="29"/>
      <c r="D95" s="167"/>
    </row>
    <row r="96" spans="1:4" s="81" customFormat="1" ht="15" customHeight="1">
      <c r="A96" s="536"/>
      <c r="B96" s="300">
        <v>1</v>
      </c>
      <c r="C96" s="300"/>
      <c r="D96" s="353">
        <v>333</v>
      </c>
    </row>
    <row r="97" spans="1:4" s="81" customFormat="1" ht="15" customHeight="1">
      <c r="A97" s="536"/>
      <c r="B97" s="300">
        <v>1</v>
      </c>
      <c r="C97" s="300">
        <v>1994</v>
      </c>
      <c r="D97" s="353">
        <f>129.5+407</f>
        <v>536.5</v>
      </c>
    </row>
    <row r="98" spans="1:4" s="81" customFormat="1" ht="15" customHeight="1">
      <c r="A98" s="536"/>
      <c r="B98" s="300">
        <v>1</v>
      </c>
      <c r="C98" s="300"/>
      <c r="D98" s="353">
        <v>358.9</v>
      </c>
    </row>
    <row r="99" spans="1:4" s="51" customFormat="1" ht="15" customHeight="1">
      <c r="A99" s="86" t="s">
        <v>223</v>
      </c>
      <c r="B99" s="88">
        <f>SUM(B96:B98)</f>
        <v>3</v>
      </c>
      <c r="C99" s="88"/>
      <c r="D99" s="147">
        <f>SUM(D96:D98)</f>
        <v>1228.4</v>
      </c>
    </row>
    <row r="100" spans="1:4" s="51" customFormat="1" ht="15" customHeight="1">
      <c r="A100" s="37" t="s">
        <v>32</v>
      </c>
      <c r="B100" s="29"/>
      <c r="C100" s="29"/>
      <c r="D100" s="167"/>
    </row>
    <row r="101" spans="1:4" s="81" customFormat="1" ht="15" customHeight="1">
      <c r="A101" s="536"/>
      <c r="B101" s="300">
        <v>1</v>
      </c>
      <c r="C101" s="300"/>
      <c r="D101" s="353">
        <v>166.5</v>
      </c>
    </row>
    <row r="102" spans="1:4" s="81" customFormat="1" ht="15" customHeight="1">
      <c r="A102" s="536"/>
      <c r="B102" s="300">
        <v>1</v>
      </c>
      <c r="C102" s="300"/>
      <c r="D102" s="353">
        <f>296+148</f>
        <v>444</v>
      </c>
    </row>
    <row r="103" spans="1:4" s="81" customFormat="1" ht="15" customHeight="1">
      <c r="A103" s="536"/>
      <c r="B103" s="300">
        <v>1</v>
      </c>
      <c r="C103" s="300"/>
      <c r="D103" s="353">
        <v>108.5</v>
      </c>
    </row>
    <row r="104" spans="1:4" s="81" customFormat="1" ht="15" customHeight="1">
      <c r="A104" s="536"/>
      <c r="B104" s="300">
        <v>1</v>
      </c>
      <c r="C104" s="300">
        <v>1995</v>
      </c>
      <c r="D104" s="353">
        <f>207.2+88.8+351.5</f>
        <v>647.5</v>
      </c>
    </row>
    <row r="105" spans="1:4" s="81" customFormat="1" ht="15" customHeight="1">
      <c r="A105" s="536"/>
      <c r="B105" s="300">
        <v>1</v>
      </c>
      <c r="C105" s="300"/>
      <c r="D105" s="353">
        <v>155.4</v>
      </c>
    </row>
    <row r="106" spans="1:4" s="81" customFormat="1" ht="15" customHeight="1">
      <c r="A106" s="536"/>
      <c r="B106" s="300">
        <v>1</v>
      </c>
      <c r="C106" s="300"/>
      <c r="D106" s="353">
        <v>868</v>
      </c>
    </row>
    <row r="107" spans="1:4" s="72" customFormat="1" ht="15" customHeight="1">
      <c r="A107" s="41" t="s">
        <v>83</v>
      </c>
      <c r="B107" s="121">
        <f>SUM(B101:B106)</f>
        <v>6</v>
      </c>
      <c r="C107" s="113"/>
      <c r="D107" s="147">
        <f>SUM(D101:D106)</f>
        <v>2389.9</v>
      </c>
    </row>
    <row r="108" spans="1:4" s="74" customFormat="1" ht="15" customHeight="1">
      <c r="A108" s="39" t="s">
        <v>181</v>
      </c>
      <c r="B108" s="103">
        <f>B107+B99+B94+B81+B73+B61+B47+B40+B14</f>
        <v>79</v>
      </c>
      <c r="C108" s="111"/>
      <c r="D108" s="148">
        <f>D107+D99+D94+D81+D73+D61+D47+D40+D14</f>
        <v>41004.049999999996</v>
      </c>
    </row>
    <row r="113" ht="12.75">
      <c r="A113" s="84"/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30"/>
  <sheetViews>
    <sheetView workbookViewId="0" topLeftCell="A1">
      <selection activeCell="A3" sqref="A3"/>
    </sheetView>
  </sheetViews>
  <sheetFormatPr defaultColWidth="9.140625" defaultRowHeight="12.75"/>
  <cols>
    <col min="1" max="1" width="34.8515625" style="56" customWidth="1"/>
    <col min="2" max="2" width="23.28125" style="54" customWidth="1"/>
    <col min="3" max="3" width="11.57421875" style="33" hidden="1" customWidth="1"/>
    <col min="4" max="5" width="4.7109375" style="33" hidden="1" customWidth="1"/>
    <col min="6" max="8" width="11.57421875" style="33" hidden="1" customWidth="1"/>
    <col min="9" max="9" width="11.57421875" style="33" customWidth="1"/>
    <col min="10" max="10" width="20.28125" style="57" customWidth="1"/>
    <col min="11" max="12" width="11.57421875" style="34" customWidth="1"/>
    <col min="13" max="13" width="16.140625" style="34" customWidth="1"/>
    <col min="14" max="14" width="16.57421875" style="54" customWidth="1"/>
    <col min="15" max="16384" width="11.57421875" style="54" customWidth="1"/>
  </cols>
  <sheetData>
    <row r="1" spans="1:15" s="48" customFormat="1" ht="30" customHeight="1">
      <c r="A1" s="571" t="s">
        <v>358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280">
        <v>40070157</v>
      </c>
    </row>
    <row r="2" spans="1:14" s="49" customFormat="1" ht="39" customHeight="1">
      <c r="A2" s="551" t="s">
        <v>241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s="50" customFormat="1" ht="15" customHeight="1">
      <c r="A3" s="42" t="s">
        <v>12</v>
      </c>
      <c r="B3" s="42" t="s">
        <v>184</v>
      </c>
      <c r="C3" s="29" t="s">
        <v>35</v>
      </c>
      <c r="D3" s="29" t="s">
        <v>33</v>
      </c>
      <c r="E3" s="29" t="s">
        <v>34</v>
      </c>
      <c r="F3" s="29" t="s">
        <v>36</v>
      </c>
      <c r="G3" s="29" t="s">
        <v>37</v>
      </c>
      <c r="H3" s="29" t="s">
        <v>38</v>
      </c>
      <c r="I3" s="29" t="s">
        <v>23</v>
      </c>
      <c r="J3" s="122" t="s">
        <v>14</v>
      </c>
      <c r="K3" s="79" t="s">
        <v>14</v>
      </c>
      <c r="L3" s="79" t="s">
        <v>15</v>
      </c>
      <c r="M3" s="79" t="s">
        <v>16</v>
      </c>
      <c r="N3" s="42" t="s">
        <v>20</v>
      </c>
    </row>
    <row r="4" spans="1:14" s="50" customFormat="1" ht="15" customHeight="1">
      <c r="A4" s="42"/>
      <c r="B4" s="42"/>
      <c r="C4" s="29"/>
      <c r="D4" s="29"/>
      <c r="E4" s="29"/>
      <c r="F4" s="29"/>
      <c r="G4" s="29"/>
      <c r="H4" s="29"/>
      <c r="I4" s="29" t="s">
        <v>232</v>
      </c>
      <c r="J4" s="122" t="s">
        <v>233</v>
      </c>
      <c r="K4" s="79" t="s">
        <v>234</v>
      </c>
      <c r="L4" s="79" t="s">
        <v>235</v>
      </c>
      <c r="M4" s="79"/>
      <c r="N4" s="42"/>
    </row>
    <row r="5" spans="1:14" s="51" customFormat="1" ht="16.5" customHeight="1">
      <c r="A5" s="37" t="s">
        <v>26</v>
      </c>
      <c r="B5" s="123"/>
      <c r="C5" s="29"/>
      <c r="D5" s="29"/>
      <c r="E5" s="29"/>
      <c r="F5" s="29"/>
      <c r="G5" s="29"/>
      <c r="H5" s="29"/>
      <c r="I5" s="29"/>
      <c r="J5" s="377"/>
      <c r="K5" s="374"/>
      <c r="L5" s="374"/>
      <c r="M5" s="374"/>
      <c r="N5" s="42"/>
    </row>
    <row r="6" spans="1:14" s="73" customFormat="1" ht="15" customHeight="1">
      <c r="A6" s="375" t="s">
        <v>286</v>
      </c>
      <c r="B6" s="300" t="s">
        <v>7</v>
      </c>
      <c r="C6" s="300"/>
      <c r="D6" s="300"/>
      <c r="E6" s="300"/>
      <c r="F6" s="300"/>
      <c r="G6" s="300"/>
      <c r="H6" s="300"/>
      <c r="I6" s="351"/>
      <c r="J6" s="352">
        <v>20.384</v>
      </c>
      <c r="K6" s="353"/>
      <c r="L6" s="353"/>
      <c r="M6" s="353"/>
      <c r="N6" s="353">
        <v>10086.6</v>
      </c>
    </row>
    <row r="7" spans="1:14" s="51" customFormat="1" ht="15" customHeight="1">
      <c r="A7" s="37" t="s">
        <v>24</v>
      </c>
      <c r="B7" s="123"/>
      <c r="C7" s="29"/>
      <c r="D7" s="29"/>
      <c r="E7" s="29"/>
      <c r="F7" s="29"/>
      <c r="G7" s="29"/>
      <c r="H7" s="29"/>
      <c r="I7" s="378"/>
      <c r="J7" s="379"/>
      <c r="K7" s="167"/>
      <c r="L7" s="167"/>
      <c r="M7" s="167"/>
      <c r="N7" s="380"/>
    </row>
    <row r="8" spans="1:14" s="73" customFormat="1" ht="15" customHeight="1">
      <c r="A8" s="375" t="s">
        <v>286</v>
      </c>
      <c r="B8" s="300" t="s">
        <v>7</v>
      </c>
      <c r="C8" s="300"/>
      <c r="D8" s="300"/>
      <c r="E8" s="300"/>
      <c r="F8" s="300"/>
      <c r="G8" s="300"/>
      <c r="H8" s="300"/>
      <c r="I8" s="351"/>
      <c r="J8" s="352">
        <v>20.384</v>
      </c>
      <c r="K8" s="353"/>
      <c r="L8" s="353"/>
      <c r="M8" s="353"/>
      <c r="N8" s="353">
        <v>15152.91</v>
      </c>
    </row>
    <row r="9" spans="1:14" s="51" customFormat="1" ht="15" customHeight="1">
      <c r="A9" s="37" t="s">
        <v>27</v>
      </c>
      <c r="B9" s="123"/>
      <c r="C9" s="29"/>
      <c r="D9" s="29"/>
      <c r="E9" s="29"/>
      <c r="F9" s="29"/>
      <c r="G9" s="29"/>
      <c r="H9" s="29"/>
      <c r="I9" s="378"/>
      <c r="J9" s="379"/>
      <c r="K9" s="167"/>
      <c r="L9" s="167"/>
      <c r="M9" s="167"/>
      <c r="N9" s="380"/>
    </row>
    <row r="10" spans="1:14" s="81" customFormat="1" ht="15" customHeight="1">
      <c r="A10" s="375" t="s">
        <v>286</v>
      </c>
      <c r="B10" s="300" t="s">
        <v>7</v>
      </c>
      <c r="C10" s="300"/>
      <c r="D10" s="300"/>
      <c r="E10" s="300"/>
      <c r="F10" s="300"/>
      <c r="G10" s="300"/>
      <c r="H10" s="300"/>
      <c r="I10" s="351"/>
      <c r="J10" s="352">
        <v>20.384</v>
      </c>
      <c r="K10" s="353"/>
      <c r="L10" s="353"/>
      <c r="M10" s="353"/>
      <c r="N10" s="353">
        <v>7748.36</v>
      </c>
    </row>
    <row r="11" spans="1:14" s="51" customFormat="1" ht="15" customHeight="1">
      <c r="A11" s="37" t="s">
        <v>28</v>
      </c>
      <c r="B11" s="123"/>
      <c r="C11" s="29"/>
      <c r="D11" s="29"/>
      <c r="E11" s="29"/>
      <c r="F11" s="29"/>
      <c r="G11" s="29"/>
      <c r="H11" s="29"/>
      <c r="I11" s="378"/>
      <c r="J11" s="379"/>
      <c r="K11" s="167"/>
      <c r="L11" s="167"/>
      <c r="M11" s="167"/>
      <c r="N11" s="380"/>
    </row>
    <row r="12" spans="1:14" s="81" customFormat="1" ht="15" customHeight="1">
      <c r="A12" s="375" t="s">
        <v>286</v>
      </c>
      <c r="B12" s="300" t="s">
        <v>7</v>
      </c>
      <c r="C12" s="300"/>
      <c r="D12" s="300"/>
      <c r="E12" s="300"/>
      <c r="F12" s="300"/>
      <c r="G12" s="300"/>
      <c r="H12" s="300"/>
      <c r="I12" s="351"/>
      <c r="J12" s="352">
        <v>20.384</v>
      </c>
      <c r="K12" s="353"/>
      <c r="L12" s="353"/>
      <c r="M12" s="353"/>
      <c r="N12" s="353">
        <v>9062.95</v>
      </c>
    </row>
    <row r="13" spans="1:14" s="51" customFormat="1" ht="15" customHeight="1">
      <c r="A13" s="37" t="s">
        <v>25</v>
      </c>
      <c r="B13" s="123"/>
      <c r="C13" s="29"/>
      <c r="D13" s="29"/>
      <c r="E13" s="29"/>
      <c r="F13" s="29"/>
      <c r="G13" s="29"/>
      <c r="H13" s="29"/>
      <c r="I13" s="378"/>
      <c r="J13" s="379"/>
      <c r="K13" s="167"/>
      <c r="L13" s="167"/>
      <c r="M13" s="167"/>
      <c r="N13" s="380"/>
    </row>
    <row r="14" spans="1:14" s="81" customFormat="1" ht="15" customHeight="1">
      <c r="A14" s="375" t="s">
        <v>286</v>
      </c>
      <c r="B14" s="300" t="s">
        <v>7</v>
      </c>
      <c r="C14" s="300">
        <v>1</v>
      </c>
      <c r="D14" s="300"/>
      <c r="E14" s="300">
        <v>1</v>
      </c>
      <c r="F14" s="300">
        <v>1</v>
      </c>
      <c r="G14" s="300"/>
      <c r="H14" s="300"/>
      <c r="I14" s="351"/>
      <c r="J14" s="352">
        <v>20.384</v>
      </c>
      <c r="K14" s="353"/>
      <c r="L14" s="353"/>
      <c r="M14" s="353"/>
      <c r="N14" s="353">
        <v>7448.96</v>
      </c>
    </row>
    <row r="15" spans="1:14" s="51" customFormat="1" ht="15" customHeight="1">
      <c r="A15" s="37" t="s">
        <v>29</v>
      </c>
      <c r="B15" s="123"/>
      <c r="C15" s="29"/>
      <c r="D15" s="29"/>
      <c r="E15" s="29"/>
      <c r="F15" s="29"/>
      <c r="G15" s="29"/>
      <c r="H15" s="29"/>
      <c r="I15" s="378"/>
      <c r="J15" s="379"/>
      <c r="K15" s="167"/>
      <c r="L15" s="167"/>
      <c r="M15" s="167"/>
      <c r="N15" s="380"/>
    </row>
    <row r="16" spans="1:14" s="73" customFormat="1" ht="15" customHeight="1">
      <c r="A16" s="375" t="s">
        <v>286</v>
      </c>
      <c r="B16" s="300" t="s">
        <v>7</v>
      </c>
      <c r="C16" s="300">
        <v>1</v>
      </c>
      <c r="D16" s="300">
        <v>1</v>
      </c>
      <c r="E16" s="300"/>
      <c r="F16" s="300">
        <v>1</v>
      </c>
      <c r="G16" s="300"/>
      <c r="H16" s="300"/>
      <c r="I16" s="351"/>
      <c r="J16" s="352">
        <v>20.384</v>
      </c>
      <c r="K16" s="353"/>
      <c r="L16" s="353"/>
      <c r="M16" s="353"/>
      <c r="N16" s="353">
        <v>8935.22</v>
      </c>
    </row>
    <row r="17" spans="1:14" s="51" customFormat="1" ht="15" customHeight="1">
      <c r="A17" s="37" t="s">
        <v>30</v>
      </c>
      <c r="B17" s="123"/>
      <c r="C17" s="29"/>
      <c r="D17" s="29"/>
      <c r="E17" s="29"/>
      <c r="F17" s="29"/>
      <c r="G17" s="29"/>
      <c r="H17" s="29"/>
      <c r="I17" s="378"/>
      <c r="J17" s="379"/>
      <c r="K17" s="167"/>
      <c r="L17" s="167"/>
      <c r="M17" s="167"/>
      <c r="N17" s="380"/>
    </row>
    <row r="18" spans="1:14" s="53" customFormat="1" ht="15" customHeight="1">
      <c r="A18" s="375" t="s">
        <v>286</v>
      </c>
      <c r="B18" s="300" t="s">
        <v>7</v>
      </c>
      <c r="C18" s="301">
        <v>1</v>
      </c>
      <c r="D18" s="301"/>
      <c r="E18" s="301">
        <v>1</v>
      </c>
      <c r="F18" s="301">
        <v>1</v>
      </c>
      <c r="G18" s="301"/>
      <c r="H18" s="301"/>
      <c r="I18" s="381"/>
      <c r="J18" s="352">
        <v>20.384</v>
      </c>
      <c r="K18" s="353"/>
      <c r="L18" s="353"/>
      <c r="M18" s="353"/>
      <c r="N18" s="353">
        <v>9719.85</v>
      </c>
    </row>
    <row r="19" spans="1:14" s="51" customFormat="1" ht="15" customHeight="1">
      <c r="A19" s="37" t="s">
        <v>31</v>
      </c>
      <c r="B19" s="123"/>
      <c r="C19" s="29"/>
      <c r="D19" s="29"/>
      <c r="E19" s="29"/>
      <c r="F19" s="29"/>
      <c r="G19" s="29"/>
      <c r="H19" s="29"/>
      <c r="I19" s="378"/>
      <c r="J19" s="379"/>
      <c r="K19" s="167"/>
      <c r="L19" s="167"/>
      <c r="M19" s="167"/>
      <c r="N19" s="380"/>
    </row>
    <row r="20" spans="1:14" s="53" customFormat="1" ht="15" customHeight="1">
      <c r="A20" s="375" t="s">
        <v>286</v>
      </c>
      <c r="B20" s="300" t="s">
        <v>7</v>
      </c>
      <c r="C20" s="301">
        <v>1</v>
      </c>
      <c r="D20" s="301">
        <v>1</v>
      </c>
      <c r="E20" s="301"/>
      <c r="F20" s="301">
        <v>1</v>
      </c>
      <c r="G20" s="301"/>
      <c r="H20" s="301"/>
      <c r="I20" s="381"/>
      <c r="J20" s="352">
        <v>20.384</v>
      </c>
      <c r="K20" s="353"/>
      <c r="L20" s="353"/>
      <c r="M20" s="353"/>
      <c r="N20" s="353">
        <v>5986.63</v>
      </c>
    </row>
    <row r="21" spans="1:14" s="51" customFormat="1" ht="15" customHeight="1">
      <c r="A21" s="37" t="s">
        <v>32</v>
      </c>
      <c r="B21" s="123"/>
      <c r="C21" s="29"/>
      <c r="D21" s="29"/>
      <c r="E21" s="29"/>
      <c r="F21" s="29"/>
      <c r="G21" s="29"/>
      <c r="H21" s="29"/>
      <c r="I21" s="378"/>
      <c r="J21" s="379"/>
      <c r="K21" s="167"/>
      <c r="L21" s="167"/>
      <c r="M21" s="167"/>
      <c r="N21" s="380"/>
    </row>
    <row r="22" spans="1:14" s="53" customFormat="1" ht="15" customHeight="1">
      <c r="A22" s="375" t="s">
        <v>286</v>
      </c>
      <c r="B22" s="300" t="s">
        <v>7</v>
      </c>
      <c r="C22" s="301">
        <v>1</v>
      </c>
      <c r="D22" s="301">
        <v>1</v>
      </c>
      <c r="E22" s="301"/>
      <c r="F22" s="301">
        <v>1</v>
      </c>
      <c r="G22" s="301"/>
      <c r="H22" s="301"/>
      <c r="I22" s="381"/>
      <c r="J22" s="352">
        <v>20.384</v>
      </c>
      <c r="K22" s="353"/>
      <c r="L22" s="353"/>
      <c r="M22" s="353"/>
      <c r="N22" s="353">
        <v>1959.47</v>
      </c>
    </row>
    <row r="23" spans="1:14" s="162" customFormat="1" ht="15" customHeight="1">
      <c r="A23" s="39" t="s">
        <v>181</v>
      </c>
      <c r="B23" s="110"/>
      <c r="C23" s="111"/>
      <c r="D23" s="111"/>
      <c r="E23" s="111"/>
      <c r="F23" s="111"/>
      <c r="G23" s="111"/>
      <c r="H23" s="111"/>
      <c r="I23" s="170"/>
      <c r="J23" s="124"/>
      <c r="K23" s="147"/>
      <c r="L23" s="147"/>
      <c r="M23" s="147"/>
      <c r="N23" s="148">
        <f>N6+N8+N10+N12+N14+N16+N18+N20+N22</f>
        <v>76100.95000000001</v>
      </c>
    </row>
    <row r="30" ht="12.75">
      <c r="N30" s="83"/>
    </row>
  </sheetData>
  <mergeCells count="2">
    <mergeCell ref="A2:N2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8"/>
  <sheetViews>
    <sheetView workbookViewId="0" topLeftCell="A1">
      <selection activeCell="A42" sqref="A42"/>
    </sheetView>
  </sheetViews>
  <sheetFormatPr defaultColWidth="9.140625" defaultRowHeight="12.75"/>
  <cols>
    <col min="1" max="1" width="41.421875" style="56" customWidth="1"/>
    <col min="2" max="2" width="15.8515625" style="56" customWidth="1"/>
    <col min="3" max="3" width="19.00390625" style="54" customWidth="1"/>
    <col min="4" max="4" width="16.28125" style="33" customWidth="1"/>
    <col min="5" max="5" width="11.57421875" style="57" customWidth="1"/>
    <col min="6" max="6" width="13.57421875" style="164" customWidth="1"/>
    <col min="7" max="7" width="11.57421875" style="164" customWidth="1"/>
    <col min="8" max="8" width="13.421875" style="164" customWidth="1"/>
    <col min="9" max="9" width="18.421875" style="169" customWidth="1"/>
    <col min="10" max="10" width="14.57421875" style="54" customWidth="1"/>
    <col min="11" max="16384" width="11.57421875" style="54" customWidth="1"/>
  </cols>
  <sheetData>
    <row r="1" spans="1:10" s="48" customFormat="1" ht="30" customHeight="1">
      <c r="A1" s="545" t="s">
        <v>359</v>
      </c>
      <c r="B1" s="545"/>
      <c r="C1" s="545"/>
      <c r="D1" s="545"/>
      <c r="E1" s="545"/>
      <c r="F1" s="545"/>
      <c r="G1" s="545"/>
      <c r="H1" s="545"/>
      <c r="I1" s="545"/>
      <c r="J1" s="280">
        <v>40070181</v>
      </c>
    </row>
    <row r="2" spans="1:9" s="49" customFormat="1" ht="39" customHeight="1">
      <c r="A2" s="551" t="s">
        <v>166</v>
      </c>
      <c r="B2" s="551"/>
      <c r="C2" s="551"/>
      <c r="D2" s="551"/>
      <c r="E2" s="551"/>
      <c r="F2" s="551"/>
      <c r="G2" s="551"/>
      <c r="H2" s="551"/>
      <c r="I2" s="551"/>
    </row>
    <row r="3" spans="1:9" s="50" customFormat="1" ht="15" customHeight="1">
      <c r="A3" s="42" t="s">
        <v>12</v>
      </c>
      <c r="B3" s="29" t="s">
        <v>160</v>
      </c>
      <c r="C3" s="42" t="s">
        <v>184</v>
      </c>
      <c r="D3" s="29" t="s">
        <v>23</v>
      </c>
      <c r="E3" s="122" t="s">
        <v>14</v>
      </c>
      <c r="F3" s="79" t="s">
        <v>14</v>
      </c>
      <c r="G3" s="79" t="s">
        <v>15</v>
      </c>
      <c r="H3" s="79" t="s">
        <v>16</v>
      </c>
      <c r="I3" s="572" t="s">
        <v>20</v>
      </c>
    </row>
    <row r="4" spans="1:9" s="50" customFormat="1" ht="15" customHeight="1">
      <c r="A4" s="42"/>
      <c r="B4" s="29"/>
      <c r="C4" s="42"/>
      <c r="D4" s="29" t="s">
        <v>232</v>
      </c>
      <c r="E4" s="122" t="s">
        <v>233</v>
      </c>
      <c r="F4" s="79" t="s">
        <v>234</v>
      </c>
      <c r="G4" s="79" t="s">
        <v>235</v>
      </c>
      <c r="H4" s="356"/>
      <c r="I4" s="572"/>
    </row>
    <row r="5" spans="1:9" s="51" customFormat="1" ht="15" customHeight="1">
      <c r="A5" s="77" t="s">
        <v>26</v>
      </c>
      <c r="B5" s="87"/>
      <c r="C5" s="358"/>
      <c r="D5" s="87"/>
      <c r="E5" s="382"/>
      <c r="F5" s="383"/>
      <c r="G5" s="383"/>
      <c r="H5" s="384"/>
      <c r="I5" s="385"/>
    </row>
    <row r="6" spans="1:9" s="53" customFormat="1" ht="14.25" customHeight="1">
      <c r="A6" s="350" t="s">
        <v>368</v>
      </c>
      <c r="B6" s="317"/>
      <c r="C6" s="351"/>
      <c r="D6" s="352"/>
      <c r="E6" s="353"/>
      <c r="F6" s="353"/>
      <c r="G6" s="386"/>
      <c r="H6" s="353"/>
      <c r="I6" s="353">
        <v>723.29</v>
      </c>
    </row>
    <row r="7" spans="1:9" s="73" customFormat="1" ht="15" customHeight="1">
      <c r="A7" s="532"/>
      <c r="B7" s="300">
        <v>1</v>
      </c>
      <c r="C7" s="317" t="s">
        <v>236</v>
      </c>
      <c r="D7" s="351">
        <v>105.7</v>
      </c>
      <c r="E7" s="352">
        <v>20.384</v>
      </c>
      <c r="F7" s="353">
        <f>D7*E7</f>
        <v>2154.5888</v>
      </c>
      <c r="G7" s="353">
        <v>69.6</v>
      </c>
      <c r="H7" s="386">
        <v>132.33</v>
      </c>
      <c r="I7" s="353">
        <f>F7+G7+H7</f>
        <v>2356.5188</v>
      </c>
    </row>
    <row r="8" spans="1:9" s="73" customFormat="1" ht="15" customHeight="1">
      <c r="A8" s="532"/>
      <c r="B8" s="300">
        <v>1</v>
      </c>
      <c r="C8" s="317" t="s">
        <v>236</v>
      </c>
      <c r="D8" s="351">
        <v>52</v>
      </c>
      <c r="E8" s="352">
        <v>20.384</v>
      </c>
      <c r="F8" s="353">
        <f>D8*E8</f>
        <v>1059.968</v>
      </c>
      <c r="G8" s="353"/>
      <c r="H8" s="386">
        <v>52.32</v>
      </c>
      <c r="I8" s="353">
        <f>F8+G8+H8</f>
        <v>1112.288</v>
      </c>
    </row>
    <row r="9" spans="1:10" s="156" customFormat="1" ht="15" customHeight="1">
      <c r="A9" s="75" t="s">
        <v>40</v>
      </c>
      <c r="B9" s="111">
        <f>SUM(B7:B8)</f>
        <v>2</v>
      </c>
      <c r="C9" s="155"/>
      <c r="D9" s="173">
        <f>SUM(D7:D8)</f>
        <v>157.7</v>
      </c>
      <c r="E9" s="174"/>
      <c r="F9" s="147">
        <f>SUM(F7:F8)</f>
        <v>3214.5568000000003</v>
      </c>
      <c r="G9" s="147">
        <f>SUM(G7:G8)</f>
        <v>69.6</v>
      </c>
      <c r="H9" s="171">
        <f>SUM(H7:H8)</f>
        <v>184.65</v>
      </c>
      <c r="I9" s="147">
        <f>SUM(I6:I8)</f>
        <v>4192.096799999999</v>
      </c>
      <c r="J9" s="227"/>
    </row>
    <row r="10" spans="1:9" s="51" customFormat="1" ht="15" customHeight="1">
      <c r="A10" s="28" t="s">
        <v>24</v>
      </c>
      <c r="B10" s="29"/>
      <c r="C10" s="58"/>
      <c r="D10" s="378"/>
      <c r="E10" s="387"/>
      <c r="F10" s="206"/>
      <c r="G10" s="206"/>
      <c r="H10" s="388"/>
      <c r="I10" s="380"/>
    </row>
    <row r="11" spans="1:9" s="53" customFormat="1" ht="14.25" customHeight="1">
      <c r="A11" s="350" t="s">
        <v>368</v>
      </c>
      <c r="B11" s="317"/>
      <c r="C11" s="351"/>
      <c r="D11" s="352"/>
      <c r="E11" s="353"/>
      <c r="F11" s="353"/>
      <c r="G11" s="386"/>
      <c r="H11" s="353"/>
      <c r="I11" s="353">
        <f>4250.64-3999.43</f>
        <v>251.2100000000005</v>
      </c>
    </row>
    <row r="12" spans="1:9" s="81" customFormat="1" ht="15" customHeight="1">
      <c r="A12" s="532"/>
      <c r="B12" s="300">
        <v>2</v>
      </c>
      <c r="C12" s="317" t="s">
        <v>236</v>
      </c>
      <c r="D12" s="351">
        <v>293</v>
      </c>
      <c r="E12" s="389">
        <v>20.384</v>
      </c>
      <c r="F12" s="353">
        <f>D12*E15</f>
        <v>5972.512</v>
      </c>
      <c r="G12" s="353"/>
      <c r="H12" s="386"/>
      <c r="I12" s="353">
        <f>F12</f>
        <v>5972.512</v>
      </c>
    </row>
    <row r="13" spans="1:9" s="81" customFormat="1" ht="15" customHeight="1">
      <c r="A13" s="532"/>
      <c r="B13" s="300">
        <v>1</v>
      </c>
      <c r="C13" s="317"/>
      <c r="D13" s="351">
        <v>57</v>
      </c>
      <c r="E13" s="389">
        <v>20.384</v>
      </c>
      <c r="F13" s="353">
        <f aca="true" t="shared" si="0" ref="F13:F18">D13*E13</f>
        <v>1161.888</v>
      </c>
      <c r="G13" s="353"/>
      <c r="H13" s="386"/>
      <c r="I13" s="353">
        <f aca="true" t="shared" si="1" ref="I13:I18">F13</f>
        <v>1161.888</v>
      </c>
    </row>
    <row r="14" spans="1:11" s="81" customFormat="1" ht="15" customHeight="1">
      <c r="A14" s="532"/>
      <c r="B14" s="300">
        <v>3</v>
      </c>
      <c r="C14" s="317" t="s">
        <v>236</v>
      </c>
      <c r="D14" s="351">
        <v>268.5</v>
      </c>
      <c r="E14" s="389">
        <v>20.384</v>
      </c>
      <c r="F14" s="353">
        <f t="shared" si="0"/>
        <v>5473.104</v>
      </c>
      <c r="G14" s="353"/>
      <c r="H14" s="386"/>
      <c r="I14" s="353">
        <f t="shared" si="1"/>
        <v>5473.104</v>
      </c>
      <c r="J14" s="222"/>
      <c r="K14" s="221"/>
    </row>
    <row r="15" spans="1:9" s="81" customFormat="1" ht="15" customHeight="1">
      <c r="A15" s="532"/>
      <c r="B15" s="300">
        <v>1</v>
      </c>
      <c r="C15" s="317" t="s">
        <v>236</v>
      </c>
      <c r="D15" s="351">
        <v>80</v>
      </c>
      <c r="E15" s="389">
        <v>20.384</v>
      </c>
      <c r="F15" s="353">
        <f t="shared" si="0"/>
        <v>1630.72</v>
      </c>
      <c r="G15" s="353"/>
      <c r="H15" s="386"/>
      <c r="I15" s="353">
        <f t="shared" si="1"/>
        <v>1630.72</v>
      </c>
    </row>
    <row r="16" spans="1:9" s="81" customFormat="1" ht="15" customHeight="1">
      <c r="A16" s="532"/>
      <c r="B16" s="300"/>
      <c r="C16" s="317" t="s">
        <v>236</v>
      </c>
      <c r="D16" s="351">
        <v>12.5</v>
      </c>
      <c r="E16" s="389">
        <v>20.384</v>
      </c>
      <c r="F16" s="353">
        <f t="shared" si="0"/>
        <v>254.8</v>
      </c>
      <c r="G16" s="353"/>
      <c r="H16" s="386"/>
      <c r="I16" s="353">
        <f t="shared" si="1"/>
        <v>254.8</v>
      </c>
    </row>
    <row r="17" spans="1:9" s="81" customFormat="1" ht="15" customHeight="1">
      <c r="A17" s="532"/>
      <c r="B17" s="300">
        <v>1</v>
      </c>
      <c r="C17" s="317" t="s">
        <v>236</v>
      </c>
      <c r="D17" s="351">
        <v>203</v>
      </c>
      <c r="E17" s="389">
        <v>20.384</v>
      </c>
      <c r="F17" s="353">
        <f t="shared" si="0"/>
        <v>4137.952</v>
      </c>
      <c r="G17" s="353"/>
      <c r="H17" s="386"/>
      <c r="I17" s="353">
        <f t="shared" si="1"/>
        <v>4137.952</v>
      </c>
    </row>
    <row r="18" spans="1:11" s="81" customFormat="1" ht="15" customHeight="1">
      <c r="A18" s="532"/>
      <c r="B18" s="300">
        <v>1</v>
      </c>
      <c r="C18" s="317" t="s">
        <v>236</v>
      </c>
      <c r="D18" s="351">
        <v>20</v>
      </c>
      <c r="E18" s="389">
        <v>20.384</v>
      </c>
      <c r="F18" s="353">
        <f t="shared" si="0"/>
        <v>407.68</v>
      </c>
      <c r="G18" s="353"/>
      <c r="H18" s="386"/>
      <c r="I18" s="353">
        <f t="shared" si="1"/>
        <v>407.68</v>
      </c>
      <c r="K18" s="221"/>
    </row>
    <row r="19" spans="1:11" s="81" customFormat="1" ht="15" customHeight="1">
      <c r="A19" s="350" t="s">
        <v>113</v>
      </c>
      <c r="B19" s="300"/>
      <c r="C19" s="317"/>
      <c r="D19" s="351"/>
      <c r="E19" s="389"/>
      <c r="F19" s="353"/>
      <c r="G19" s="353">
        <v>639.45</v>
      </c>
      <c r="H19" s="386">
        <f>894.85+181.2+39.47</f>
        <v>1115.52</v>
      </c>
      <c r="I19" s="353">
        <f>G19+H19</f>
        <v>1754.97</v>
      </c>
      <c r="K19" s="221"/>
    </row>
    <row r="20" spans="1:9" s="161" customFormat="1" ht="15" customHeight="1">
      <c r="A20" s="75" t="s">
        <v>204</v>
      </c>
      <c r="B20" s="121">
        <f>SUM(B12:B18)</f>
        <v>9</v>
      </c>
      <c r="C20" s="92"/>
      <c r="D20" s="173">
        <f>SUM(D12:D18)</f>
        <v>934</v>
      </c>
      <c r="E20" s="174"/>
      <c r="F20" s="147">
        <f>SUM(F12:F18)</f>
        <v>19038.656</v>
      </c>
      <c r="G20" s="147">
        <f>SUM(G19)</f>
        <v>639.45</v>
      </c>
      <c r="H20" s="171">
        <f>SUM(H19)</f>
        <v>1115.52</v>
      </c>
      <c r="I20" s="147">
        <f>SUM(I11:I19)</f>
        <v>21044.836</v>
      </c>
    </row>
    <row r="21" spans="1:9" s="51" customFormat="1" ht="15" customHeight="1">
      <c r="A21" s="28" t="s">
        <v>28</v>
      </c>
      <c r="B21" s="29"/>
      <c r="C21" s="58"/>
      <c r="D21" s="378"/>
      <c r="E21" s="387"/>
      <c r="F21" s="206"/>
      <c r="G21" s="206"/>
      <c r="H21" s="388"/>
      <c r="I21" s="380"/>
    </row>
    <row r="22" spans="1:9" s="53" customFormat="1" ht="15" customHeight="1">
      <c r="A22" s="350" t="s">
        <v>368</v>
      </c>
      <c r="B22" s="317"/>
      <c r="C22" s="351"/>
      <c r="D22" s="352"/>
      <c r="E22" s="353"/>
      <c r="F22" s="353"/>
      <c r="G22" s="386"/>
      <c r="H22" s="353"/>
      <c r="I22" s="353">
        <v>1017.76</v>
      </c>
    </row>
    <row r="23" spans="1:11" s="53" customFormat="1" ht="15" customHeight="1">
      <c r="A23" s="532"/>
      <c r="B23" s="301">
        <v>2</v>
      </c>
      <c r="C23" s="317" t="s">
        <v>236</v>
      </c>
      <c r="D23" s="381">
        <v>58.5</v>
      </c>
      <c r="E23" s="352">
        <v>20.384</v>
      </c>
      <c r="F23" s="353">
        <f>D23*E23</f>
        <v>1192.464</v>
      </c>
      <c r="G23" s="353"/>
      <c r="H23" s="386"/>
      <c r="I23" s="353">
        <f>F23</f>
        <v>1192.464</v>
      </c>
      <c r="K23" s="90"/>
    </row>
    <row r="24" spans="1:11" s="53" customFormat="1" ht="15" customHeight="1">
      <c r="A24" s="532"/>
      <c r="B24" s="301">
        <v>3</v>
      </c>
      <c r="C24" s="390" t="s">
        <v>236</v>
      </c>
      <c r="D24" s="391">
        <v>241</v>
      </c>
      <c r="E24" s="352">
        <v>20.384</v>
      </c>
      <c r="F24" s="353">
        <f>D24*E24</f>
        <v>4912.544</v>
      </c>
      <c r="G24" s="353"/>
      <c r="H24" s="386"/>
      <c r="I24" s="353">
        <f>F24</f>
        <v>4912.544</v>
      </c>
      <c r="J24" s="90"/>
      <c r="K24" s="90"/>
    </row>
    <row r="25" spans="1:11" s="81" customFormat="1" ht="15" customHeight="1">
      <c r="A25" s="350" t="s">
        <v>113</v>
      </c>
      <c r="B25" s="300"/>
      <c r="C25" s="317"/>
      <c r="D25" s="351"/>
      <c r="E25" s="389"/>
      <c r="F25" s="353"/>
      <c r="G25" s="353">
        <v>510.77</v>
      </c>
      <c r="H25" s="386">
        <f>617.37+76.58</f>
        <v>693.95</v>
      </c>
      <c r="I25" s="353">
        <f>G25+H25</f>
        <v>1204.72</v>
      </c>
      <c r="K25" s="221"/>
    </row>
    <row r="26" spans="1:9" s="161" customFormat="1" ht="15" customHeight="1">
      <c r="A26" s="75" t="s">
        <v>67</v>
      </c>
      <c r="B26" s="112">
        <f>SUM(B23:B24)</f>
        <v>5</v>
      </c>
      <c r="C26" s="92"/>
      <c r="D26" s="173">
        <f>SUM(D23:D24)</f>
        <v>299.5</v>
      </c>
      <c r="E26" s="174"/>
      <c r="F26" s="147">
        <f>SUM(F23:F24)</f>
        <v>6105.008</v>
      </c>
      <c r="G26" s="147">
        <f>SUM(G25)</f>
        <v>510.77</v>
      </c>
      <c r="H26" s="171">
        <f>SUM(H25)</f>
        <v>693.95</v>
      </c>
      <c r="I26" s="147">
        <f>SUM(I22:I25)</f>
        <v>8327.488</v>
      </c>
    </row>
    <row r="27" spans="1:9" s="51" customFormat="1" ht="15" customHeight="1">
      <c r="A27" s="28" t="s">
        <v>25</v>
      </c>
      <c r="B27" s="29"/>
      <c r="C27" s="58"/>
      <c r="D27" s="378"/>
      <c r="E27" s="387"/>
      <c r="F27" s="206"/>
      <c r="G27" s="206"/>
      <c r="H27" s="388"/>
      <c r="I27" s="380"/>
    </row>
    <row r="28" spans="1:10" s="53" customFormat="1" ht="15" customHeight="1">
      <c r="A28" s="350" t="s">
        <v>291</v>
      </c>
      <c r="B28" s="317"/>
      <c r="C28" s="351"/>
      <c r="D28" s="352"/>
      <c r="E28" s="353"/>
      <c r="F28" s="353"/>
      <c r="G28" s="386"/>
      <c r="H28" s="353"/>
      <c r="I28" s="353">
        <v>2440.36</v>
      </c>
      <c r="J28" s="90"/>
    </row>
    <row r="29" spans="1:9" s="220" customFormat="1" ht="15" customHeight="1">
      <c r="A29" s="532"/>
      <c r="B29" s="392">
        <v>2</v>
      </c>
      <c r="C29" s="317" t="s">
        <v>236</v>
      </c>
      <c r="D29" s="351">
        <v>412</v>
      </c>
      <c r="E29" s="352">
        <v>20.384</v>
      </c>
      <c r="F29" s="353">
        <f>D29*E29</f>
        <v>8398.208</v>
      </c>
      <c r="G29" s="353">
        <f>300.73+48.17</f>
        <v>348.90000000000003</v>
      </c>
      <c r="H29" s="386">
        <v>1418.31</v>
      </c>
      <c r="I29" s="353">
        <f>F29+G29+H29</f>
        <v>10165.418</v>
      </c>
    </row>
    <row r="30" spans="1:9" s="72" customFormat="1" ht="15" customHeight="1">
      <c r="A30" s="75" t="s">
        <v>174</v>
      </c>
      <c r="B30" s="112"/>
      <c r="C30" s="155"/>
      <c r="D30" s="173">
        <f>SUM(D29)</f>
        <v>412</v>
      </c>
      <c r="E30" s="174"/>
      <c r="F30" s="147"/>
      <c r="G30" s="147"/>
      <c r="H30" s="171"/>
      <c r="I30" s="147">
        <f>SUM(I28:I29)</f>
        <v>12605.778</v>
      </c>
    </row>
    <row r="31" spans="1:9" s="51" customFormat="1" ht="15" customHeight="1">
      <c r="A31" s="28" t="s">
        <v>29</v>
      </c>
      <c r="B31" s="29"/>
      <c r="C31" s="58"/>
      <c r="D31" s="378"/>
      <c r="E31" s="387"/>
      <c r="F31" s="206"/>
      <c r="G31" s="206"/>
      <c r="H31" s="388"/>
      <c r="I31" s="380"/>
    </row>
    <row r="32" spans="1:9" s="53" customFormat="1" ht="15" customHeight="1">
      <c r="A32" s="350" t="s">
        <v>368</v>
      </c>
      <c r="B32" s="317"/>
      <c r="C32" s="351"/>
      <c r="D32" s="352"/>
      <c r="E32" s="353"/>
      <c r="F32" s="353"/>
      <c r="G32" s="386"/>
      <c r="H32" s="353"/>
      <c r="I32" s="353">
        <v>1123.06</v>
      </c>
    </row>
    <row r="33" spans="1:9" s="73" customFormat="1" ht="15" customHeight="1">
      <c r="A33" s="532"/>
      <c r="B33" s="300">
        <v>1</v>
      </c>
      <c r="C33" s="317"/>
      <c r="D33" s="351">
        <v>180.5</v>
      </c>
      <c r="E33" s="352">
        <v>20.384</v>
      </c>
      <c r="F33" s="353">
        <f>D33*E33</f>
        <v>3679.312</v>
      </c>
      <c r="G33" s="353">
        <f>13.34+11.1</f>
        <v>24.439999999999998</v>
      </c>
      <c r="H33" s="386">
        <v>273.44</v>
      </c>
      <c r="I33" s="353">
        <f>F33+G33+H33</f>
        <v>3977.192</v>
      </c>
    </row>
    <row r="34" spans="1:9" s="161" customFormat="1" ht="15" customHeight="1">
      <c r="A34" s="75" t="s">
        <v>213</v>
      </c>
      <c r="B34" s="112">
        <f>SUM(B33)</f>
        <v>1</v>
      </c>
      <c r="C34" s="92"/>
      <c r="D34" s="173">
        <f>SUM(D31:D32)</f>
        <v>0</v>
      </c>
      <c r="E34" s="174"/>
      <c r="F34" s="147">
        <f>SUM(F31:F32)</f>
        <v>0</v>
      </c>
      <c r="G34" s="147">
        <f>SUM(G33)</f>
        <v>24.439999999999998</v>
      </c>
      <c r="H34" s="171">
        <f>SUM(H33)</f>
        <v>273.44</v>
      </c>
      <c r="I34" s="147">
        <f>SUM(I32:I33)</f>
        <v>5100.252</v>
      </c>
    </row>
    <row r="35" spans="1:9" s="51" customFormat="1" ht="15" customHeight="1">
      <c r="A35" s="28" t="s">
        <v>30</v>
      </c>
      <c r="B35" s="29"/>
      <c r="C35" s="58"/>
      <c r="D35" s="378"/>
      <c r="E35" s="387"/>
      <c r="F35" s="206"/>
      <c r="G35" s="206"/>
      <c r="H35" s="388"/>
      <c r="I35" s="167"/>
    </row>
    <row r="36" spans="1:9" s="53" customFormat="1" ht="15" customHeight="1">
      <c r="A36" s="350" t="s">
        <v>368</v>
      </c>
      <c r="B36" s="317"/>
      <c r="C36" s="351"/>
      <c r="D36" s="352"/>
      <c r="E36" s="353"/>
      <c r="F36" s="353"/>
      <c r="G36" s="386"/>
      <c r="H36" s="353"/>
      <c r="I36" s="353">
        <v>2448.22</v>
      </c>
    </row>
    <row r="37" spans="1:12" s="53" customFormat="1" ht="15" customHeight="1">
      <c r="A37" s="532"/>
      <c r="B37" s="301">
        <v>2</v>
      </c>
      <c r="C37" s="317" t="s">
        <v>7</v>
      </c>
      <c r="D37" s="381">
        <v>358</v>
      </c>
      <c r="E37" s="352">
        <v>20.384</v>
      </c>
      <c r="F37" s="353">
        <f>D37*E37</f>
        <v>7297.472</v>
      </c>
      <c r="G37" s="353">
        <v>46.14</v>
      </c>
      <c r="H37" s="386">
        <v>35.78</v>
      </c>
      <c r="I37" s="353">
        <f>F37+G37+H37</f>
        <v>7379.392</v>
      </c>
      <c r="J37" s="90"/>
      <c r="K37" s="90"/>
      <c r="L37" s="90"/>
    </row>
    <row r="38" spans="1:11" s="53" customFormat="1" ht="15" customHeight="1">
      <c r="A38" s="532"/>
      <c r="B38" s="301">
        <v>2</v>
      </c>
      <c r="C38" s="317" t="s">
        <v>236</v>
      </c>
      <c r="D38" s="381">
        <v>32</v>
      </c>
      <c r="E38" s="352">
        <v>20.384</v>
      </c>
      <c r="F38" s="353">
        <f>D38*E38</f>
        <v>652.288</v>
      </c>
      <c r="G38" s="353">
        <f>287.68-114.15</f>
        <v>173.53</v>
      </c>
      <c r="H38" s="386">
        <v>110.8</v>
      </c>
      <c r="I38" s="353">
        <f>F38+G38+H38</f>
        <v>936.6179999999999</v>
      </c>
      <c r="K38" s="90"/>
    </row>
    <row r="39" spans="1:11" s="73" customFormat="1" ht="15" customHeight="1">
      <c r="A39" s="532"/>
      <c r="B39" s="300">
        <v>2</v>
      </c>
      <c r="C39" s="317" t="s">
        <v>236</v>
      </c>
      <c r="D39" s="351">
        <v>180</v>
      </c>
      <c r="E39" s="352">
        <v>20.384</v>
      </c>
      <c r="F39" s="353">
        <f>D39*E39</f>
        <v>3669.12</v>
      </c>
      <c r="G39" s="353"/>
      <c r="H39" s="386"/>
      <c r="I39" s="353">
        <f>F39+G39+H39</f>
        <v>3669.12</v>
      </c>
      <c r="J39" s="223"/>
      <c r="K39" s="223"/>
    </row>
    <row r="40" spans="1:9" s="161" customFormat="1" ht="15" customHeight="1">
      <c r="A40" s="75" t="s">
        <v>175</v>
      </c>
      <c r="B40" s="112">
        <f>SUM(B37:B39)</f>
        <v>6</v>
      </c>
      <c r="C40" s="92"/>
      <c r="D40" s="173">
        <f>SUM(D37:D39)</f>
        <v>570</v>
      </c>
      <c r="E40" s="174"/>
      <c r="F40" s="147">
        <f>SUM(F37:F39)</f>
        <v>11618.880000000001</v>
      </c>
      <c r="G40" s="147">
        <f>SUM(G37:G39)</f>
        <v>219.67000000000002</v>
      </c>
      <c r="H40" s="171">
        <f>SUM(H37:H39)</f>
        <v>146.57999999999998</v>
      </c>
      <c r="I40" s="147">
        <f>SUM(I36:I39)</f>
        <v>14433.349999999999</v>
      </c>
    </row>
    <row r="41" spans="1:9" s="51" customFormat="1" ht="15" customHeight="1">
      <c r="A41" s="28" t="s">
        <v>31</v>
      </c>
      <c r="B41" s="29"/>
      <c r="C41" s="58"/>
      <c r="D41" s="378"/>
      <c r="E41" s="387"/>
      <c r="F41" s="206"/>
      <c r="G41" s="206"/>
      <c r="H41" s="388"/>
      <c r="I41" s="167"/>
    </row>
    <row r="42" spans="1:9" s="53" customFormat="1" ht="15" customHeight="1">
      <c r="A42" s="350" t="s">
        <v>368</v>
      </c>
      <c r="B42" s="317"/>
      <c r="C42" s="351"/>
      <c r="D42" s="352"/>
      <c r="E42" s="353"/>
      <c r="F42" s="353"/>
      <c r="G42" s="386"/>
      <c r="H42" s="353"/>
      <c r="I42" s="353">
        <v>803.27</v>
      </c>
    </row>
    <row r="43" spans="1:9" s="53" customFormat="1" ht="15" customHeight="1">
      <c r="A43" s="532"/>
      <c r="B43" s="301">
        <v>1</v>
      </c>
      <c r="C43" s="317" t="s">
        <v>236</v>
      </c>
      <c r="D43" s="381">
        <v>89.5</v>
      </c>
      <c r="E43" s="352">
        <v>20.384</v>
      </c>
      <c r="F43" s="353">
        <f>D43*E43</f>
        <v>1824.368</v>
      </c>
      <c r="G43" s="353">
        <f>116+7.62</f>
        <v>123.62</v>
      </c>
      <c r="H43" s="386">
        <v>179.25</v>
      </c>
      <c r="I43" s="353">
        <f>F43+G43+H43</f>
        <v>2127.238</v>
      </c>
    </row>
    <row r="44" spans="1:9" s="53" customFormat="1" ht="15" customHeight="1">
      <c r="A44" s="70" t="s">
        <v>223</v>
      </c>
      <c r="B44" s="88">
        <v>1</v>
      </c>
      <c r="C44" s="155"/>
      <c r="D44" s="281">
        <f>SUM(D43)</f>
        <v>89.5</v>
      </c>
      <c r="E44" s="174"/>
      <c r="F44" s="147">
        <f>SUM(F43)</f>
        <v>1824.368</v>
      </c>
      <c r="G44" s="147">
        <f>SUM(G43)</f>
        <v>123.62</v>
      </c>
      <c r="H44" s="171">
        <f>SUM(H43)</f>
        <v>179.25</v>
      </c>
      <c r="I44" s="147">
        <f>SUM(I42:I43)</f>
        <v>2930.508</v>
      </c>
    </row>
    <row r="45" spans="1:9" s="162" customFormat="1" ht="15" customHeight="1">
      <c r="A45" s="39" t="s">
        <v>181</v>
      </c>
      <c r="B45" s="103"/>
      <c r="C45" s="111"/>
      <c r="D45" s="170">
        <f>D44+D40+D34+D30+D26+D20+D9</f>
        <v>2462.7</v>
      </c>
      <c r="E45" s="124"/>
      <c r="F45" s="147"/>
      <c r="G45" s="147"/>
      <c r="H45" s="147"/>
      <c r="I45" s="148">
        <f>I44+I40+I34+I30+I26+I20+I9</f>
        <v>68634.3088</v>
      </c>
    </row>
    <row r="48" ht="12.75">
      <c r="I48" s="164"/>
    </row>
  </sheetData>
  <mergeCells count="3">
    <mergeCell ref="A2:I2"/>
    <mergeCell ref="A1:I1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1"/>
  <sheetViews>
    <sheetView workbookViewId="0" topLeftCell="A1">
      <selection activeCell="A33" sqref="A33"/>
    </sheetView>
  </sheetViews>
  <sheetFormatPr defaultColWidth="9.140625" defaultRowHeight="12.75"/>
  <cols>
    <col min="1" max="1" width="41.00390625" style="56" customWidth="1"/>
    <col min="2" max="2" width="19.140625" style="54" customWidth="1"/>
    <col min="3" max="3" width="17.57421875" style="33" customWidth="1"/>
    <col min="4" max="4" width="13.8515625" style="57" customWidth="1"/>
    <col min="5" max="5" width="17.140625" style="34" customWidth="1"/>
    <col min="6" max="6" width="15.28125" style="34" customWidth="1"/>
    <col min="7" max="7" width="16.140625" style="34" customWidth="1"/>
    <col min="8" max="8" width="16.00390625" style="54" customWidth="1"/>
    <col min="9" max="16384" width="11.57421875" style="54" customWidth="1"/>
  </cols>
  <sheetData>
    <row r="1" spans="1:9" s="48" customFormat="1" ht="30" customHeight="1">
      <c r="A1" s="545" t="s">
        <v>360</v>
      </c>
      <c r="B1" s="545"/>
      <c r="C1" s="545"/>
      <c r="D1" s="545"/>
      <c r="E1" s="545"/>
      <c r="F1" s="545"/>
      <c r="G1" s="545"/>
      <c r="H1" s="545"/>
      <c r="I1" s="280">
        <v>40070175</v>
      </c>
    </row>
    <row r="2" spans="1:8" s="49" customFormat="1" ht="39" customHeight="1">
      <c r="A2" s="551" t="s">
        <v>167</v>
      </c>
      <c r="B2" s="569"/>
      <c r="C2" s="569"/>
      <c r="D2" s="569"/>
      <c r="E2" s="569"/>
      <c r="F2" s="569"/>
      <c r="G2" s="569"/>
      <c r="H2" s="569"/>
    </row>
    <row r="3" spans="1:8" s="50" customFormat="1" ht="15" customHeight="1">
      <c r="A3" s="117" t="s">
        <v>12</v>
      </c>
      <c r="B3" s="26" t="s">
        <v>184</v>
      </c>
      <c r="C3" s="27" t="s">
        <v>68</v>
      </c>
      <c r="D3" s="63" t="s">
        <v>164</v>
      </c>
      <c r="E3" s="35" t="s">
        <v>17</v>
      </c>
      <c r="F3" s="35" t="s">
        <v>203</v>
      </c>
      <c r="G3" s="35" t="s">
        <v>16</v>
      </c>
      <c r="H3" s="42" t="s">
        <v>20</v>
      </c>
    </row>
    <row r="4" spans="1:8" s="51" customFormat="1" ht="15" customHeight="1">
      <c r="A4" s="28" t="s">
        <v>26</v>
      </c>
      <c r="B4" s="58"/>
      <c r="C4" s="29"/>
      <c r="D4" s="393"/>
      <c r="E4" s="394"/>
      <c r="F4" s="394"/>
      <c r="G4" s="395"/>
      <c r="H4" s="42"/>
    </row>
    <row r="5" spans="1:8" s="73" customFormat="1" ht="15" customHeight="1">
      <c r="A5" s="350" t="s">
        <v>368</v>
      </c>
      <c r="B5" s="317"/>
      <c r="C5" s="351"/>
      <c r="D5" s="352"/>
      <c r="E5" s="353"/>
      <c r="F5" s="353"/>
      <c r="G5" s="386"/>
      <c r="H5" s="353">
        <v>6208.36</v>
      </c>
    </row>
    <row r="6" spans="1:8" s="73" customFormat="1" ht="15" customHeight="1">
      <c r="A6" s="350" t="s">
        <v>287</v>
      </c>
      <c r="B6" s="317" t="s">
        <v>236</v>
      </c>
      <c r="C6" s="351">
        <v>1519.05</v>
      </c>
      <c r="D6" s="352">
        <v>20.384</v>
      </c>
      <c r="E6" s="353">
        <f>C6*D6</f>
        <v>30964.3152</v>
      </c>
      <c r="F6" s="353">
        <v>1413.75</v>
      </c>
      <c r="G6" s="386">
        <f>1134.57+9.26</f>
        <v>1143.83</v>
      </c>
      <c r="H6" s="353">
        <f>E6+F6+G6</f>
        <v>33521.8952</v>
      </c>
    </row>
    <row r="7" spans="1:10" s="73" customFormat="1" ht="15" customHeight="1">
      <c r="A7" s="70" t="s">
        <v>40</v>
      </c>
      <c r="B7" s="155"/>
      <c r="C7" s="173"/>
      <c r="D7" s="174"/>
      <c r="E7" s="147"/>
      <c r="F7" s="147"/>
      <c r="G7" s="171"/>
      <c r="H7" s="147">
        <f>SUM(H5:H6)</f>
        <v>39730.2552</v>
      </c>
      <c r="I7" s="223"/>
      <c r="J7" s="223"/>
    </row>
    <row r="8" spans="1:8" s="51" customFormat="1" ht="15" customHeight="1">
      <c r="A8" s="28" t="s">
        <v>24</v>
      </c>
      <c r="B8" s="58"/>
      <c r="C8" s="378"/>
      <c r="D8" s="387"/>
      <c r="E8" s="206"/>
      <c r="F8" s="206"/>
      <c r="G8" s="388"/>
      <c r="H8" s="380"/>
    </row>
    <row r="9" spans="1:8" s="53" customFormat="1" ht="15" customHeight="1">
      <c r="A9" s="350" t="s">
        <v>368</v>
      </c>
      <c r="B9" s="317"/>
      <c r="C9" s="351"/>
      <c r="D9" s="352"/>
      <c r="E9" s="353"/>
      <c r="F9" s="353"/>
      <c r="G9" s="386"/>
      <c r="H9" s="353">
        <f>10423.32-8353.15</f>
        <v>2070.17</v>
      </c>
    </row>
    <row r="10" spans="1:10" s="81" customFormat="1" ht="15" customHeight="1">
      <c r="A10" s="350" t="s">
        <v>287</v>
      </c>
      <c r="B10" s="317" t="s">
        <v>236</v>
      </c>
      <c r="C10" s="351">
        <f>1652.25+657.75</f>
        <v>2310</v>
      </c>
      <c r="D10" s="352">
        <v>20.384</v>
      </c>
      <c r="E10" s="353">
        <f>C10*D10</f>
        <v>47087.04</v>
      </c>
      <c r="F10" s="353">
        <v>2375.39</v>
      </c>
      <c r="G10" s="386">
        <f>2703.7-355.03</f>
        <v>2348.67</v>
      </c>
      <c r="H10" s="353">
        <f>E10+F10+G10</f>
        <v>51811.1</v>
      </c>
      <c r="J10" s="221"/>
    </row>
    <row r="11" spans="1:10" s="81" customFormat="1" ht="15" customHeight="1">
      <c r="A11" s="70" t="s">
        <v>204</v>
      </c>
      <c r="B11" s="155"/>
      <c r="C11" s="173"/>
      <c r="D11" s="174"/>
      <c r="E11" s="147"/>
      <c r="F11" s="147"/>
      <c r="G11" s="171"/>
      <c r="H11" s="147">
        <f>SUM(H9:H10)</f>
        <v>53881.27</v>
      </c>
      <c r="J11" s="221"/>
    </row>
    <row r="12" spans="1:8" s="51" customFormat="1" ht="15" customHeight="1">
      <c r="A12" s="28" t="s">
        <v>27</v>
      </c>
      <c r="B12" s="58"/>
      <c r="C12" s="378"/>
      <c r="D12" s="387"/>
      <c r="E12" s="206"/>
      <c r="F12" s="206"/>
      <c r="G12" s="388"/>
      <c r="H12" s="380"/>
    </row>
    <row r="13" spans="1:8" s="53" customFormat="1" ht="15" customHeight="1">
      <c r="A13" s="350" t="s">
        <v>368</v>
      </c>
      <c r="B13" s="247"/>
      <c r="C13" s="381"/>
      <c r="D13" s="396"/>
      <c r="E13" s="397"/>
      <c r="F13" s="397"/>
      <c r="G13" s="398"/>
      <c r="H13" s="353">
        <v>4873.79</v>
      </c>
    </row>
    <row r="14" spans="1:9" s="81" customFormat="1" ht="15" customHeight="1">
      <c r="A14" s="350" t="s">
        <v>287</v>
      </c>
      <c r="B14" s="317" t="s">
        <v>236</v>
      </c>
      <c r="C14" s="351">
        <v>1034.25</v>
      </c>
      <c r="D14" s="352">
        <v>20.384</v>
      </c>
      <c r="E14" s="353">
        <f>C14*D14</f>
        <v>21082.152000000002</v>
      </c>
      <c r="F14" s="353">
        <f>1261+153.15</f>
        <v>1414.15</v>
      </c>
      <c r="G14" s="386">
        <v>1402.13</v>
      </c>
      <c r="H14" s="353">
        <f>E14+F14+G14</f>
        <v>23898.432000000004</v>
      </c>
      <c r="I14" s="221"/>
    </row>
    <row r="15" spans="1:10" s="81" customFormat="1" ht="15" customHeight="1">
      <c r="A15" s="75" t="s">
        <v>188</v>
      </c>
      <c r="B15" s="155"/>
      <c r="C15" s="173"/>
      <c r="D15" s="174"/>
      <c r="E15" s="147"/>
      <c r="F15" s="147"/>
      <c r="G15" s="171"/>
      <c r="H15" s="147">
        <f>SUM(H13:H14)</f>
        <v>28772.222000000005</v>
      </c>
      <c r="J15" s="221"/>
    </row>
    <row r="16" spans="1:8" s="51" customFormat="1" ht="15" customHeight="1">
      <c r="A16" s="28" t="s">
        <v>28</v>
      </c>
      <c r="B16" s="58"/>
      <c r="C16" s="378"/>
      <c r="D16" s="387"/>
      <c r="E16" s="206"/>
      <c r="F16" s="206"/>
      <c r="G16" s="388"/>
      <c r="H16" s="380"/>
    </row>
    <row r="17" spans="1:8" s="53" customFormat="1" ht="15" customHeight="1">
      <c r="A17" s="350" t="s">
        <v>368</v>
      </c>
      <c r="B17" s="247"/>
      <c r="C17" s="381"/>
      <c r="D17" s="396"/>
      <c r="E17" s="397"/>
      <c r="F17" s="397"/>
      <c r="G17" s="398"/>
      <c r="H17" s="353">
        <v>4746.7</v>
      </c>
    </row>
    <row r="18" spans="1:8" s="81" customFormat="1" ht="15" customHeight="1">
      <c r="A18" s="350" t="s">
        <v>287</v>
      </c>
      <c r="B18" s="317" t="s">
        <v>236</v>
      </c>
      <c r="C18" s="351">
        <v>1129.1</v>
      </c>
      <c r="D18" s="352">
        <v>20.384</v>
      </c>
      <c r="E18" s="353">
        <f>C18*D18</f>
        <v>23015.574399999998</v>
      </c>
      <c r="F18" s="353">
        <v>1018.48</v>
      </c>
      <c r="G18" s="386">
        <f>940.88+10.3</f>
        <v>951.18</v>
      </c>
      <c r="H18" s="353">
        <f>E18+F18+G18</f>
        <v>24985.234399999998</v>
      </c>
    </row>
    <row r="19" spans="1:10" s="81" customFormat="1" ht="15" customHeight="1">
      <c r="A19" s="75" t="s">
        <v>67</v>
      </c>
      <c r="B19" s="155"/>
      <c r="C19" s="173"/>
      <c r="D19" s="174"/>
      <c r="E19" s="147"/>
      <c r="F19" s="147"/>
      <c r="G19" s="171"/>
      <c r="H19" s="147">
        <f>SUM(H17:H18)</f>
        <v>29731.9344</v>
      </c>
      <c r="J19" s="221"/>
    </row>
    <row r="20" spans="1:8" s="51" customFormat="1" ht="15" customHeight="1">
      <c r="A20" s="28" t="s">
        <v>25</v>
      </c>
      <c r="B20" s="58"/>
      <c r="C20" s="378"/>
      <c r="D20" s="387"/>
      <c r="E20" s="206"/>
      <c r="F20" s="206"/>
      <c r="G20" s="388"/>
      <c r="H20" s="380"/>
    </row>
    <row r="21" spans="1:8" s="53" customFormat="1" ht="15" customHeight="1">
      <c r="A21" s="350" t="s">
        <v>368</v>
      </c>
      <c r="B21" s="247"/>
      <c r="C21" s="381"/>
      <c r="D21" s="396"/>
      <c r="E21" s="397"/>
      <c r="F21" s="397"/>
      <c r="G21" s="398"/>
      <c r="H21" s="353">
        <v>6990.37</v>
      </c>
    </row>
    <row r="22" spans="1:8" s="81" customFormat="1" ht="15" customHeight="1">
      <c r="A22" s="350" t="s">
        <v>287</v>
      </c>
      <c r="B22" s="317" t="s">
        <v>236</v>
      </c>
      <c r="C22" s="351">
        <v>1721.25</v>
      </c>
      <c r="D22" s="399">
        <v>20.384</v>
      </c>
      <c r="E22" s="353">
        <f>C22*D22</f>
        <v>35085.96</v>
      </c>
      <c r="F22" s="353">
        <f>1482.48+15.38</f>
        <v>1497.8600000000001</v>
      </c>
      <c r="G22" s="386">
        <v>1844.44</v>
      </c>
      <c r="H22" s="353">
        <f>E22+F22+G22</f>
        <v>38428.26</v>
      </c>
    </row>
    <row r="23" spans="1:10" ht="15" customHeight="1">
      <c r="A23" s="75" t="s">
        <v>174</v>
      </c>
      <c r="B23" s="155"/>
      <c r="C23" s="173"/>
      <c r="D23" s="174"/>
      <c r="E23" s="147"/>
      <c r="F23" s="147"/>
      <c r="G23" s="171"/>
      <c r="H23" s="147">
        <f>SUM(H21:H22)</f>
        <v>45418.630000000005</v>
      </c>
      <c r="I23" s="83"/>
      <c r="J23" s="83"/>
    </row>
    <row r="24" spans="1:8" s="51" customFormat="1" ht="15" customHeight="1">
      <c r="A24" s="28" t="s">
        <v>29</v>
      </c>
      <c r="B24" s="58"/>
      <c r="C24" s="378"/>
      <c r="D24" s="387"/>
      <c r="E24" s="206"/>
      <c r="F24" s="206"/>
      <c r="G24" s="388"/>
      <c r="H24" s="380"/>
    </row>
    <row r="25" spans="1:8" s="53" customFormat="1" ht="15" customHeight="1">
      <c r="A25" s="350" t="s">
        <v>368</v>
      </c>
      <c r="B25" s="247"/>
      <c r="C25" s="381"/>
      <c r="D25" s="396"/>
      <c r="E25" s="397"/>
      <c r="F25" s="397"/>
      <c r="G25" s="398"/>
      <c r="H25" s="353">
        <v>4376.92</v>
      </c>
    </row>
    <row r="26" spans="1:8" s="73" customFormat="1" ht="15" customHeight="1">
      <c r="A26" s="350" t="s">
        <v>287</v>
      </c>
      <c r="B26" s="317" t="s">
        <v>236</v>
      </c>
      <c r="C26" s="351">
        <v>956.5</v>
      </c>
      <c r="D26" s="352">
        <v>20.384</v>
      </c>
      <c r="E26" s="353">
        <f>C26*D26</f>
        <v>19497.296000000002</v>
      </c>
      <c r="F26" s="353">
        <f>804.17+4.38</f>
        <v>808.55</v>
      </c>
      <c r="G26" s="386">
        <v>926.27</v>
      </c>
      <c r="H26" s="353">
        <f>E26+F26+G26</f>
        <v>21232.116</v>
      </c>
    </row>
    <row r="27" spans="1:9" s="52" customFormat="1" ht="15" customHeight="1">
      <c r="A27" s="75" t="s">
        <v>213</v>
      </c>
      <c r="B27" s="155"/>
      <c r="C27" s="173"/>
      <c r="D27" s="174"/>
      <c r="E27" s="147"/>
      <c r="F27" s="147"/>
      <c r="G27" s="171"/>
      <c r="H27" s="147">
        <f>SUM(H25:H26)</f>
        <v>25609.036</v>
      </c>
      <c r="I27" s="91"/>
    </row>
    <row r="28" spans="1:8" s="51" customFormat="1" ht="15" customHeight="1">
      <c r="A28" s="28" t="s">
        <v>30</v>
      </c>
      <c r="B28" s="58"/>
      <c r="C28" s="378"/>
      <c r="D28" s="387"/>
      <c r="E28" s="206"/>
      <c r="F28" s="206"/>
      <c r="G28" s="388"/>
      <c r="H28" s="380"/>
    </row>
    <row r="29" spans="1:8" s="53" customFormat="1" ht="15" customHeight="1">
      <c r="A29" s="350" t="s">
        <v>368</v>
      </c>
      <c r="B29" s="247"/>
      <c r="C29" s="381"/>
      <c r="D29" s="396"/>
      <c r="E29" s="397"/>
      <c r="F29" s="397"/>
      <c r="G29" s="398"/>
      <c r="H29" s="353">
        <v>5757.07</v>
      </c>
    </row>
    <row r="30" spans="1:8" s="81" customFormat="1" ht="15" customHeight="1">
      <c r="A30" s="350" t="s">
        <v>287</v>
      </c>
      <c r="B30" s="400" t="s">
        <v>236</v>
      </c>
      <c r="C30" s="351">
        <v>1457.5</v>
      </c>
      <c r="D30" s="352">
        <v>20.384</v>
      </c>
      <c r="E30" s="353">
        <f>C30*D30</f>
        <v>29709.68</v>
      </c>
      <c r="F30" s="353">
        <f>1092.14+80-39.38+32.96</f>
        <v>1165.72</v>
      </c>
      <c r="G30" s="386">
        <f>1880.88-65.92</f>
        <v>1814.96</v>
      </c>
      <c r="H30" s="353">
        <f>E30+F30+G30</f>
        <v>32690.36</v>
      </c>
    </row>
    <row r="31" spans="1:10" ht="15" customHeight="1">
      <c r="A31" s="75" t="s">
        <v>175</v>
      </c>
      <c r="B31" s="155"/>
      <c r="C31" s="173"/>
      <c r="D31" s="174"/>
      <c r="E31" s="147"/>
      <c r="F31" s="147"/>
      <c r="G31" s="171"/>
      <c r="H31" s="147">
        <f>SUM(H29:H30)</f>
        <v>38447.43</v>
      </c>
      <c r="I31" s="83"/>
      <c r="J31" s="83"/>
    </row>
    <row r="32" spans="1:8" s="51" customFormat="1" ht="15" customHeight="1">
      <c r="A32" s="28" t="s">
        <v>31</v>
      </c>
      <c r="B32" s="58"/>
      <c r="C32" s="378"/>
      <c r="D32" s="387"/>
      <c r="E32" s="206"/>
      <c r="F32" s="206"/>
      <c r="G32" s="388"/>
      <c r="H32" s="380"/>
    </row>
    <row r="33" spans="1:8" s="53" customFormat="1" ht="15" customHeight="1">
      <c r="A33" s="350" t="s">
        <v>368</v>
      </c>
      <c r="B33" s="247"/>
      <c r="C33" s="381"/>
      <c r="D33" s="396"/>
      <c r="E33" s="397"/>
      <c r="F33" s="397"/>
      <c r="G33" s="398"/>
      <c r="H33" s="353">
        <v>3092.12</v>
      </c>
    </row>
    <row r="34" spans="1:10" s="53" customFormat="1" ht="15" customHeight="1">
      <c r="A34" s="401" t="s">
        <v>287</v>
      </c>
      <c r="B34" s="319" t="s">
        <v>236</v>
      </c>
      <c r="C34" s="402">
        <v>832.72</v>
      </c>
      <c r="D34" s="403">
        <v>20.384</v>
      </c>
      <c r="E34" s="369">
        <f>C34*D34</f>
        <v>16974.16448</v>
      </c>
      <c r="F34" s="369">
        <f>847.67+40.28</f>
        <v>887.9499999999999</v>
      </c>
      <c r="G34" s="404">
        <v>892.94</v>
      </c>
      <c r="H34" s="369">
        <f>E34+F34+G34</f>
        <v>18755.05448</v>
      </c>
      <c r="J34" s="90"/>
    </row>
    <row r="35" spans="1:8" s="53" customFormat="1" ht="15" customHeight="1">
      <c r="A35" s="75" t="s">
        <v>223</v>
      </c>
      <c r="B35" s="155"/>
      <c r="C35" s="173"/>
      <c r="D35" s="174"/>
      <c r="E35" s="147"/>
      <c r="F35" s="147"/>
      <c r="G35" s="171"/>
      <c r="H35" s="147">
        <f>SUM(H33:H34)</f>
        <v>21847.174479999998</v>
      </c>
    </row>
    <row r="36" spans="1:8" s="51" customFormat="1" ht="15" customHeight="1">
      <c r="A36" s="28" t="s">
        <v>32</v>
      </c>
      <c r="B36" s="58"/>
      <c r="C36" s="378"/>
      <c r="D36" s="387"/>
      <c r="E36" s="206"/>
      <c r="F36" s="206"/>
      <c r="G36" s="388"/>
      <c r="H36" s="380"/>
    </row>
    <row r="37" spans="1:8" s="53" customFormat="1" ht="15" customHeight="1">
      <c r="A37" s="401" t="s">
        <v>293</v>
      </c>
      <c r="B37" s="319" t="s">
        <v>236</v>
      </c>
      <c r="C37" s="402"/>
      <c r="D37" s="403"/>
      <c r="E37" s="369"/>
      <c r="F37" s="369"/>
      <c r="G37" s="404"/>
      <c r="H37" s="369">
        <v>4844.03</v>
      </c>
    </row>
    <row r="38" spans="1:8" s="74" customFormat="1" ht="15" customHeight="1">
      <c r="A38" s="39" t="s">
        <v>181</v>
      </c>
      <c r="B38" s="110"/>
      <c r="C38" s="170">
        <f>C34+C30+C26+C22+C18+C14+C10+C6</f>
        <v>10960.369999999999</v>
      </c>
      <c r="D38" s="124"/>
      <c r="E38" s="147">
        <f>E34+E30+E26+E22+E18+E14+E10+E6</f>
        <v>223416.18208000003</v>
      </c>
      <c r="F38" s="147">
        <f>F6+F10+F14+F18+F22+F26+F30+F34</f>
        <v>10581.85</v>
      </c>
      <c r="G38" s="147">
        <f>G6+G10+G14+G18+G22+G26+G30+G34</f>
        <v>11324.42</v>
      </c>
      <c r="H38" s="148">
        <f>H7+H11+H15+H19+H27+H31+H35+H23+H37</f>
        <v>288281.98208</v>
      </c>
    </row>
    <row r="41" ht="12.75">
      <c r="H41" s="83"/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34"/>
  <sheetViews>
    <sheetView workbookViewId="0" topLeftCell="A1">
      <selection activeCell="A16" sqref="A16"/>
    </sheetView>
  </sheetViews>
  <sheetFormatPr defaultColWidth="9.140625" defaultRowHeight="12.75"/>
  <cols>
    <col min="1" max="1" width="37.7109375" style="56" customWidth="1"/>
    <col min="2" max="2" width="17.140625" style="54" customWidth="1"/>
    <col min="3" max="3" width="21.00390625" style="33" customWidth="1"/>
    <col min="4" max="4" width="11.57421875" style="57" customWidth="1"/>
    <col min="5" max="5" width="13.140625" style="34" customWidth="1"/>
    <col min="6" max="6" width="11.57421875" style="34" customWidth="1"/>
    <col min="7" max="7" width="20.140625" style="34" customWidth="1"/>
    <col min="8" max="8" width="20.7109375" style="54" customWidth="1"/>
    <col min="9" max="9" width="22.00390625" style="54" customWidth="1"/>
    <col min="10" max="16384" width="11.57421875" style="54" customWidth="1"/>
  </cols>
  <sheetData>
    <row r="1" spans="1:9" s="48" customFormat="1" ht="30" customHeight="1">
      <c r="A1" s="545" t="s">
        <v>361</v>
      </c>
      <c r="B1" s="545"/>
      <c r="C1" s="545"/>
      <c r="D1" s="545"/>
      <c r="E1" s="545"/>
      <c r="F1" s="545"/>
      <c r="G1" s="545"/>
      <c r="H1" s="545"/>
      <c r="I1" s="280">
        <v>40071131</v>
      </c>
    </row>
    <row r="2" spans="1:8" s="50" customFormat="1" ht="49.5" customHeight="1">
      <c r="A2" s="573" t="s">
        <v>185</v>
      </c>
      <c r="B2" s="573"/>
      <c r="C2" s="574"/>
      <c r="D2" s="574"/>
      <c r="E2" s="574"/>
      <c r="F2" s="574"/>
      <c r="G2" s="574"/>
      <c r="H2" s="574"/>
    </row>
    <row r="3" spans="1:8" s="50" customFormat="1" ht="15" customHeight="1">
      <c r="A3" s="118" t="s">
        <v>12</v>
      </c>
      <c r="B3" s="65" t="s">
        <v>184</v>
      </c>
      <c r="C3" s="87" t="s">
        <v>68</v>
      </c>
      <c r="D3" s="66" t="s">
        <v>190</v>
      </c>
      <c r="E3" s="67" t="s">
        <v>191</v>
      </c>
      <c r="F3" s="67" t="s">
        <v>192</v>
      </c>
      <c r="G3" s="67" t="s">
        <v>16</v>
      </c>
      <c r="H3" s="42" t="s">
        <v>193</v>
      </c>
    </row>
    <row r="4" spans="1:8" s="51" customFormat="1" ht="15" customHeight="1">
      <c r="A4" s="28" t="s">
        <v>26</v>
      </c>
      <c r="B4" s="58"/>
      <c r="C4" s="29"/>
      <c r="D4" s="393"/>
      <c r="E4" s="394"/>
      <c r="F4" s="394"/>
      <c r="G4" s="395"/>
      <c r="H4" s="405"/>
    </row>
    <row r="5" spans="1:8" s="53" customFormat="1" ht="15" customHeight="1">
      <c r="A5" s="406" t="s">
        <v>368</v>
      </c>
      <c r="B5" s="247"/>
      <c r="C5" s="301"/>
      <c r="D5" s="407"/>
      <c r="E5" s="408"/>
      <c r="F5" s="408"/>
      <c r="G5" s="409"/>
      <c r="H5" s="353">
        <v>2222.96</v>
      </c>
    </row>
    <row r="6" spans="1:8" s="73" customFormat="1" ht="15" customHeight="1">
      <c r="A6" s="406" t="s">
        <v>284</v>
      </c>
      <c r="B6" s="317" t="s">
        <v>7</v>
      </c>
      <c r="C6" s="300">
        <v>387.25</v>
      </c>
      <c r="D6" s="352">
        <v>20.384</v>
      </c>
      <c r="E6" s="353">
        <f>C4:C6*D6</f>
        <v>7893.704</v>
      </c>
      <c r="F6" s="353">
        <v>527.31</v>
      </c>
      <c r="G6" s="386">
        <f>841.96+3.05</f>
        <v>845.01</v>
      </c>
      <c r="H6" s="353">
        <f>E6+F6+G6</f>
        <v>9266.024</v>
      </c>
    </row>
    <row r="7" spans="1:8" s="73" customFormat="1" ht="15" customHeight="1">
      <c r="A7" s="75" t="s">
        <v>40</v>
      </c>
      <c r="B7" s="155"/>
      <c r="C7" s="111"/>
      <c r="D7" s="174"/>
      <c r="E7" s="147"/>
      <c r="F7" s="147"/>
      <c r="G7" s="171"/>
      <c r="H7" s="147">
        <f>SUM(H5:H6)</f>
        <v>11488.984</v>
      </c>
    </row>
    <row r="8" spans="1:8" s="51" customFormat="1" ht="15" customHeight="1">
      <c r="A8" s="28" t="s">
        <v>27</v>
      </c>
      <c r="B8" s="58"/>
      <c r="C8" s="29"/>
      <c r="D8" s="387"/>
      <c r="E8" s="206"/>
      <c r="F8" s="206"/>
      <c r="G8" s="388"/>
      <c r="H8" s="380"/>
    </row>
    <row r="9" spans="1:9" s="81" customFormat="1" ht="15" customHeight="1">
      <c r="A9" s="406" t="s">
        <v>284</v>
      </c>
      <c r="B9" s="317" t="s">
        <v>7</v>
      </c>
      <c r="C9" s="300">
        <v>228.25</v>
      </c>
      <c r="D9" s="352">
        <v>20.384</v>
      </c>
      <c r="E9" s="353">
        <f>C9*D9</f>
        <v>4652.648</v>
      </c>
      <c r="F9" s="353">
        <v>455.22</v>
      </c>
      <c r="G9" s="386">
        <f>732.42-18.51</f>
        <v>713.91</v>
      </c>
      <c r="H9" s="353">
        <f>E9+F9+G9</f>
        <v>5821.778</v>
      </c>
      <c r="I9" s="221"/>
    </row>
    <row r="10" spans="1:9" s="73" customFormat="1" ht="15" customHeight="1">
      <c r="A10" s="75" t="s">
        <v>292</v>
      </c>
      <c r="B10" s="155"/>
      <c r="C10" s="111"/>
      <c r="D10" s="174"/>
      <c r="E10" s="147"/>
      <c r="F10" s="147"/>
      <c r="G10" s="171"/>
      <c r="H10" s="147">
        <f>SUM(H9:H9)</f>
        <v>5821.778</v>
      </c>
      <c r="I10" s="223"/>
    </row>
    <row r="11" spans="1:8" s="51" customFormat="1" ht="15" customHeight="1">
      <c r="A11" s="28" t="s">
        <v>28</v>
      </c>
      <c r="B11" s="58"/>
      <c r="C11" s="29"/>
      <c r="D11" s="387"/>
      <c r="E11" s="206"/>
      <c r="F11" s="206"/>
      <c r="G11" s="388"/>
      <c r="H11" s="380"/>
    </row>
    <row r="12" spans="1:8" s="53" customFormat="1" ht="15" customHeight="1">
      <c r="A12" s="406" t="s">
        <v>368</v>
      </c>
      <c r="B12" s="247"/>
      <c r="C12" s="301"/>
      <c r="D12" s="407"/>
      <c r="E12" s="408"/>
      <c r="F12" s="408"/>
      <c r="G12" s="409"/>
      <c r="H12" s="353">
        <v>3104.08</v>
      </c>
    </row>
    <row r="13" spans="1:8" s="81" customFormat="1" ht="15" customHeight="1">
      <c r="A13" s="406" t="s">
        <v>284</v>
      </c>
      <c r="B13" s="317" t="s">
        <v>7</v>
      </c>
      <c r="C13" s="300">
        <v>372.5</v>
      </c>
      <c r="D13" s="352">
        <v>20.384</v>
      </c>
      <c r="E13" s="353">
        <f>C13*D13</f>
        <v>7593.04</v>
      </c>
      <c r="F13" s="353">
        <v>576.49</v>
      </c>
      <c r="G13" s="386">
        <f>683.89+4.08</f>
        <v>687.97</v>
      </c>
      <c r="H13" s="353">
        <f>E13+F13+G13</f>
        <v>8857.5</v>
      </c>
    </row>
    <row r="14" spans="1:8" s="73" customFormat="1" ht="15" customHeight="1">
      <c r="A14" s="75" t="s">
        <v>67</v>
      </c>
      <c r="B14" s="155"/>
      <c r="C14" s="111"/>
      <c r="D14" s="174"/>
      <c r="E14" s="147"/>
      <c r="F14" s="147"/>
      <c r="G14" s="171"/>
      <c r="H14" s="147">
        <f>SUM(H12:H13)</f>
        <v>11961.58</v>
      </c>
    </row>
    <row r="15" spans="1:8" s="51" customFormat="1" ht="15" customHeight="1">
      <c r="A15" s="28" t="s">
        <v>25</v>
      </c>
      <c r="B15" s="58"/>
      <c r="C15" s="29"/>
      <c r="D15" s="387"/>
      <c r="E15" s="206"/>
      <c r="F15" s="206"/>
      <c r="G15" s="388"/>
      <c r="H15" s="380"/>
    </row>
    <row r="16" spans="1:8" s="53" customFormat="1" ht="15" customHeight="1">
      <c r="A16" s="406" t="s">
        <v>368</v>
      </c>
      <c r="B16" s="247"/>
      <c r="C16" s="301"/>
      <c r="D16" s="407"/>
      <c r="E16" s="408"/>
      <c r="F16" s="408"/>
      <c r="G16" s="409"/>
      <c r="H16" s="353">
        <v>1407.18</v>
      </c>
    </row>
    <row r="17" spans="1:8" ht="15" customHeight="1">
      <c r="A17" s="406" t="s">
        <v>284</v>
      </c>
      <c r="B17" s="317" t="s">
        <v>7</v>
      </c>
      <c r="C17" s="300">
        <v>452.5</v>
      </c>
      <c r="D17" s="352">
        <v>20.384</v>
      </c>
      <c r="E17" s="353">
        <f>C17*D17</f>
        <v>9223.76</v>
      </c>
      <c r="F17" s="353">
        <v>454.14</v>
      </c>
      <c r="G17" s="386">
        <f>684.68+4.76</f>
        <v>689.4399999999999</v>
      </c>
      <c r="H17" s="353">
        <f>E17+F17+G17</f>
        <v>10367.34</v>
      </c>
    </row>
    <row r="18" spans="1:8" s="73" customFormat="1" ht="15" customHeight="1">
      <c r="A18" s="75" t="s">
        <v>174</v>
      </c>
      <c r="B18" s="155"/>
      <c r="C18" s="111"/>
      <c r="D18" s="174"/>
      <c r="E18" s="147"/>
      <c r="F18" s="147"/>
      <c r="G18" s="171"/>
      <c r="H18" s="147">
        <f>SUM(H16:H17)</f>
        <v>11774.52</v>
      </c>
    </row>
    <row r="19" spans="1:8" s="51" customFormat="1" ht="15" customHeight="1">
      <c r="A19" s="28" t="s">
        <v>29</v>
      </c>
      <c r="B19" s="58"/>
      <c r="C19" s="29"/>
      <c r="D19" s="387"/>
      <c r="E19" s="206"/>
      <c r="F19" s="206"/>
      <c r="G19" s="388"/>
      <c r="H19" s="380"/>
    </row>
    <row r="20" spans="1:8" s="53" customFormat="1" ht="15" customHeight="1">
      <c r="A20" s="406" t="s">
        <v>368</v>
      </c>
      <c r="B20" s="247"/>
      <c r="C20" s="301"/>
      <c r="D20" s="407"/>
      <c r="E20" s="408"/>
      <c r="F20" s="408"/>
      <c r="G20" s="409"/>
      <c r="H20" s="353">
        <v>2065.51</v>
      </c>
    </row>
    <row r="21" spans="1:8" s="73" customFormat="1" ht="15" customHeight="1">
      <c r="A21" s="406" t="s">
        <v>284</v>
      </c>
      <c r="B21" s="317" t="s">
        <v>7</v>
      </c>
      <c r="C21" s="300">
        <v>207.25</v>
      </c>
      <c r="D21" s="352">
        <v>20.384</v>
      </c>
      <c r="E21" s="353">
        <f>C21*D21</f>
        <v>4224.584</v>
      </c>
      <c r="F21" s="353">
        <v>303.21</v>
      </c>
      <c r="G21" s="386">
        <f>705.12+5.66</f>
        <v>710.78</v>
      </c>
      <c r="H21" s="353">
        <f>E21+F21+G21</f>
        <v>5238.574</v>
      </c>
    </row>
    <row r="22" spans="1:9" s="73" customFormat="1" ht="15" customHeight="1">
      <c r="A22" s="75" t="s">
        <v>213</v>
      </c>
      <c r="B22" s="155"/>
      <c r="C22" s="111"/>
      <c r="D22" s="174"/>
      <c r="E22" s="147"/>
      <c r="F22" s="147"/>
      <c r="G22" s="171"/>
      <c r="H22" s="147">
        <f>SUM(H20:H21)</f>
        <v>7304.084</v>
      </c>
      <c r="I22" s="223"/>
    </row>
    <row r="23" spans="1:8" s="51" customFormat="1" ht="15" customHeight="1">
      <c r="A23" s="28" t="s">
        <v>30</v>
      </c>
      <c r="B23" s="58"/>
      <c r="C23" s="29"/>
      <c r="D23" s="387"/>
      <c r="E23" s="206"/>
      <c r="F23" s="206"/>
      <c r="G23" s="388"/>
      <c r="H23" s="380">
        <v>0</v>
      </c>
    </row>
    <row r="24" spans="1:8" s="53" customFormat="1" ht="15" customHeight="1">
      <c r="A24" s="406" t="s">
        <v>284</v>
      </c>
      <c r="B24" s="317" t="s">
        <v>285</v>
      </c>
      <c r="C24" s="301"/>
      <c r="D24" s="352"/>
      <c r="E24" s="353"/>
      <c r="F24" s="353"/>
      <c r="G24" s="386"/>
      <c r="H24" s="353">
        <v>15135.01</v>
      </c>
    </row>
    <row r="25" spans="1:8" s="73" customFormat="1" ht="15" customHeight="1">
      <c r="A25" s="75" t="s">
        <v>175</v>
      </c>
      <c r="B25" s="155"/>
      <c r="C25" s="111"/>
      <c r="D25" s="174"/>
      <c r="E25" s="147"/>
      <c r="F25" s="147"/>
      <c r="G25" s="171"/>
      <c r="H25" s="147">
        <f>SUM(H23:H24)</f>
        <v>15135.01</v>
      </c>
    </row>
    <row r="26" spans="1:8" s="51" customFormat="1" ht="15" customHeight="1">
      <c r="A26" s="28" t="s">
        <v>31</v>
      </c>
      <c r="B26" s="58"/>
      <c r="C26" s="29"/>
      <c r="D26" s="387"/>
      <c r="E26" s="206"/>
      <c r="F26" s="206"/>
      <c r="G26" s="388"/>
      <c r="H26" s="380"/>
    </row>
    <row r="27" spans="1:8" s="53" customFormat="1" ht="15" customHeight="1">
      <c r="A27" s="406" t="s">
        <v>368</v>
      </c>
      <c r="B27" s="247"/>
      <c r="C27" s="301"/>
      <c r="D27" s="396"/>
      <c r="E27" s="397"/>
      <c r="F27" s="397"/>
      <c r="G27" s="398"/>
      <c r="H27" s="353">
        <v>1584.07</v>
      </c>
    </row>
    <row r="28" spans="1:8" s="53" customFormat="1" ht="15" customHeight="1">
      <c r="A28" s="410" t="s">
        <v>284</v>
      </c>
      <c r="B28" s="319" t="s">
        <v>7</v>
      </c>
      <c r="C28" s="411">
        <f>416</f>
        <v>416</v>
      </c>
      <c r="D28" s="403">
        <v>20.384</v>
      </c>
      <c r="E28" s="369">
        <f>C28*D28</f>
        <v>8479.744</v>
      </c>
      <c r="F28" s="369">
        <v>551.92</v>
      </c>
      <c r="G28" s="404">
        <f>571.41+164.59</f>
        <v>736</v>
      </c>
      <c r="H28" s="369">
        <f>E28+F28+G28-0.01</f>
        <v>9767.654</v>
      </c>
    </row>
    <row r="29" spans="1:9" s="73" customFormat="1" ht="15" customHeight="1">
      <c r="A29" s="75" t="s">
        <v>223</v>
      </c>
      <c r="B29" s="155"/>
      <c r="C29" s="111"/>
      <c r="D29" s="174"/>
      <c r="E29" s="147"/>
      <c r="F29" s="147"/>
      <c r="G29" s="171"/>
      <c r="H29" s="147">
        <f>SUM(H27:H28)</f>
        <v>11351.724</v>
      </c>
      <c r="I29" s="223"/>
    </row>
    <row r="30" spans="1:8" s="51" customFormat="1" ht="15" customHeight="1">
      <c r="A30" s="28" t="s">
        <v>32</v>
      </c>
      <c r="B30" s="58"/>
      <c r="C30" s="29"/>
      <c r="D30" s="387"/>
      <c r="E30" s="206"/>
      <c r="F30" s="206"/>
      <c r="G30" s="388"/>
      <c r="H30" s="380"/>
    </row>
    <row r="31" spans="1:8" s="53" customFormat="1" ht="15" customHeight="1">
      <c r="A31" s="410" t="s">
        <v>284</v>
      </c>
      <c r="B31" s="319"/>
      <c r="C31" s="411"/>
      <c r="D31" s="403"/>
      <c r="E31" s="369"/>
      <c r="F31" s="369"/>
      <c r="G31" s="404"/>
      <c r="H31" s="369">
        <v>14727.7</v>
      </c>
    </row>
    <row r="32" spans="1:8" s="73" customFormat="1" ht="15" customHeight="1">
      <c r="A32" s="75" t="s">
        <v>83</v>
      </c>
      <c r="B32" s="155"/>
      <c r="C32" s="111"/>
      <c r="D32" s="174"/>
      <c r="E32" s="147"/>
      <c r="F32" s="147"/>
      <c r="G32" s="171"/>
      <c r="H32" s="147">
        <f>SUM(H30:H31)</f>
        <v>14727.7</v>
      </c>
    </row>
    <row r="33" spans="1:8" s="74" customFormat="1" ht="15" customHeight="1">
      <c r="A33" s="39" t="s">
        <v>181</v>
      </c>
      <c r="B33" s="111"/>
      <c r="C33" s="111"/>
      <c r="D33" s="124"/>
      <c r="E33" s="114"/>
      <c r="F33" s="114"/>
      <c r="G33" s="114"/>
      <c r="H33" s="148">
        <f>H32+H29+H22+H18+H14+H10+H7+H25</f>
        <v>89565.38</v>
      </c>
    </row>
    <row r="34" ht="12.75">
      <c r="A34" s="94"/>
    </row>
  </sheetData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39"/>
  <sheetViews>
    <sheetView workbookViewId="0" topLeftCell="A1">
      <selection activeCell="A23" sqref="A23"/>
    </sheetView>
  </sheetViews>
  <sheetFormatPr defaultColWidth="9.140625" defaultRowHeight="12.75"/>
  <cols>
    <col min="1" max="1" width="38.140625" style="56" customWidth="1"/>
    <col min="2" max="2" width="16.57421875" style="56" customWidth="1"/>
    <col min="3" max="3" width="22.140625" style="54" customWidth="1"/>
    <col min="4" max="4" width="17.140625" style="33" customWidth="1"/>
    <col min="5" max="5" width="11.57421875" style="33" customWidth="1"/>
    <col min="6" max="6" width="16.00390625" style="128" customWidth="1"/>
    <col min="7" max="7" width="11.57421875" style="128" customWidth="1"/>
    <col min="8" max="8" width="17.8515625" style="33" customWidth="1"/>
    <col min="9" max="9" width="14.8515625" style="54" customWidth="1"/>
    <col min="10" max="10" width="11.57421875" style="54" hidden="1" customWidth="1"/>
    <col min="11" max="16384" width="11.57421875" style="54" customWidth="1"/>
  </cols>
  <sheetData>
    <row r="1" spans="1:11" s="48" customFormat="1" ht="30" customHeight="1">
      <c r="A1" s="545" t="s">
        <v>362</v>
      </c>
      <c r="B1" s="545"/>
      <c r="C1" s="545"/>
      <c r="D1" s="545"/>
      <c r="E1" s="545"/>
      <c r="F1" s="545"/>
      <c r="G1" s="545"/>
      <c r="H1" s="545"/>
      <c r="I1" s="545"/>
      <c r="K1" s="280">
        <v>40070173</v>
      </c>
    </row>
    <row r="2" spans="1:9" s="49" customFormat="1" ht="39" customHeight="1">
      <c r="A2" s="551" t="s">
        <v>168</v>
      </c>
      <c r="B2" s="551"/>
      <c r="C2" s="551"/>
      <c r="D2" s="551"/>
      <c r="E2" s="551"/>
      <c r="F2" s="551"/>
      <c r="G2" s="551"/>
      <c r="H2" s="551"/>
      <c r="I2" s="551"/>
    </row>
    <row r="3" spans="1:9" s="50" customFormat="1" ht="15" customHeight="1">
      <c r="A3" s="42" t="s">
        <v>12</v>
      </c>
      <c r="B3" s="29" t="s">
        <v>160</v>
      </c>
      <c r="C3" s="42" t="s">
        <v>184</v>
      </c>
      <c r="D3" s="29" t="s">
        <v>23</v>
      </c>
      <c r="E3" s="29" t="s">
        <v>14</v>
      </c>
      <c r="F3" s="412" t="s">
        <v>14</v>
      </c>
      <c r="G3" s="412" t="s">
        <v>15</v>
      </c>
      <c r="H3" s="29" t="s">
        <v>16</v>
      </c>
      <c r="I3" s="42" t="s">
        <v>20</v>
      </c>
    </row>
    <row r="4" spans="1:9" s="50" customFormat="1" ht="15" customHeight="1">
      <c r="A4" s="42"/>
      <c r="B4" s="29"/>
      <c r="C4" s="42"/>
      <c r="D4" s="29" t="s">
        <v>232</v>
      </c>
      <c r="E4" s="29" t="s">
        <v>233</v>
      </c>
      <c r="F4" s="412" t="s">
        <v>234</v>
      </c>
      <c r="G4" s="412" t="s">
        <v>235</v>
      </c>
      <c r="H4" s="29"/>
      <c r="I4" s="42"/>
    </row>
    <row r="5" spans="1:9" s="51" customFormat="1" ht="15" customHeight="1">
      <c r="A5" s="37" t="s">
        <v>26</v>
      </c>
      <c r="B5" s="29"/>
      <c r="C5" s="40"/>
      <c r="D5" s="29"/>
      <c r="E5" s="138"/>
      <c r="F5" s="413"/>
      <c r="G5" s="413"/>
      <c r="H5" s="138"/>
      <c r="I5" s="414"/>
    </row>
    <row r="6" spans="1:9" s="53" customFormat="1" ht="15" customHeight="1">
      <c r="A6" s="415" t="s">
        <v>291</v>
      </c>
      <c r="B6" s="416"/>
      <c r="C6" s="417"/>
      <c r="D6" s="418"/>
      <c r="E6" s="419"/>
      <c r="F6" s="419"/>
      <c r="G6" s="420"/>
      <c r="H6" s="419"/>
      <c r="I6" s="419">
        <v>203.84</v>
      </c>
    </row>
    <row r="7" spans="1:9" s="73" customFormat="1" ht="15" customHeight="1">
      <c r="A7" s="532"/>
      <c r="B7" s="300">
        <v>1</v>
      </c>
      <c r="C7" s="317" t="s">
        <v>242</v>
      </c>
      <c r="D7" s="300">
        <v>40</v>
      </c>
      <c r="E7" s="353">
        <v>20.384</v>
      </c>
      <c r="F7" s="353">
        <f>D7*E7</f>
        <v>815.36</v>
      </c>
      <c r="G7" s="353"/>
      <c r="H7" s="353"/>
      <c r="I7" s="353">
        <f>F7+G7+H7</f>
        <v>815.36</v>
      </c>
    </row>
    <row r="8" spans="1:9" s="73" customFormat="1" ht="15" customHeight="1">
      <c r="A8" s="532"/>
      <c r="B8" s="300">
        <v>1</v>
      </c>
      <c r="C8" s="317" t="s">
        <v>242</v>
      </c>
      <c r="D8" s="300">
        <v>16</v>
      </c>
      <c r="E8" s="353">
        <v>20.384</v>
      </c>
      <c r="F8" s="353">
        <f>D8*E8</f>
        <v>326.144</v>
      </c>
      <c r="G8" s="353"/>
      <c r="H8" s="353"/>
      <c r="I8" s="353">
        <f>F8+G8+H8</f>
        <v>326.144</v>
      </c>
    </row>
    <row r="9" spans="1:9" s="161" customFormat="1" ht="15" customHeight="1">
      <c r="A9" s="75" t="s">
        <v>40</v>
      </c>
      <c r="B9" s="112">
        <f>SUM(B7)</f>
        <v>1</v>
      </c>
      <c r="C9" s="92"/>
      <c r="D9" s="113"/>
      <c r="E9" s="147"/>
      <c r="F9" s="147"/>
      <c r="G9" s="147"/>
      <c r="H9" s="147"/>
      <c r="I9" s="147">
        <f>SUM(I6:I8)</f>
        <v>1345.344</v>
      </c>
    </row>
    <row r="10" spans="1:11" s="51" customFormat="1" ht="15" customHeight="1">
      <c r="A10" s="28" t="s">
        <v>24</v>
      </c>
      <c r="B10" s="29"/>
      <c r="C10" s="58"/>
      <c r="D10" s="29"/>
      <c r="E10" s="206"/>
      <c r="F10" s="206"/>
      <c r="G10" s="206"/>
      <c r="H10" s="206"/>
      <c r="I10" s="167"/>
      <c r="K10" s="126"/>
    </row>
    <row r="11" spans="1:9" s="53" customFormat="1" ht="15" customHeight="1">
      <c r="A11" s="350" t="s">
        <v>368</v>
      </c>
      <c r="B11" s="317"/>
      <c r="C11" s="351"/>
      <c r="D11" s="352"/>
      <c r="E11" s="353"/>
      <c r="F11" s="353"/>
      <c r="G11" s="386"/>
      <c r="H11" s="353"/>
      <c r="I11" s="353">
        <v>1123.37</v>
      </c>
    </row>
    <row r="12" spans="1:9" s="81" customFormat="1" ht="15" customHeight="1">
      <c r="A12" s="532"/>
      <c r="B12" s="300">
        <v>2</v>
      </c>
      <c r="C12" s="317" t="s">
        <v>236</v>
      </c>
      <c r="D12" s="300">
        <v>24</v>
      </c>
      <c r="E12" s="353">
        <v>20.384</v>
      </c>
      <c r="F12" s="353">
        <f>D12*E12</f>
        <v>489.216</v>
      </c>
      <c r="G12" s="353"/>
      <c r="H12" s="353"/>
      <c r="I12" s="353">
        <f>264.99+81.54+142.69</f>
        <v>489.22</v>
      </c>
    </row>
    <row r="13" spans="1:11" s="73" customFormat="1" ht="15" customHeight="1">
      <c r="A13" s="532"/>
      <c r="B13" s="300">
        <v>2</v>
      </c>
      <c r="C13" s="317" t="s">
        <v>242</v>
      </c>
      <c r="D13" s="300">
        <v>41</v>
      </c>
      <c r="E13" s="353">
        <v>20.384</v>
      </c>
      <c r="F13" s="353">
        <v>840.86</v>
      </c>
      <c r="G13" s="353"/>
      <c r="H13" s="353"/>
      <c r="I13" s="353">
        <f>91.73+178.36+56.06+168.17+122.31+142.69+81.54</f>
        <v>840.8600000000001</v>
      </c>
      <c r="J13" s="225" t="s">
        <v>180</v>
      </c>
      <c r="K13" s="223"/>
    </row>
    <row r="14" spans="1:11" s="73" customFormat="1" ht="15" customHeight="1">
      <c r="A14" s="532"/>
      <c r="B14" s="300"/>
      <c r="C14" s="317" t="s">
        <v>231</v>
      </c>
      <c r="D14" s="300"/>
      <c r="E14" s="353"/>
      <c r="F14" s="353"/>
      <c r="G14" s="353"/>
      <c r="H14" s="353"/>
      <c r="I14" s="353">
        <f>43.68*3</f>
        <v>131.04</v>
      </c>
      <c r="J14" s="225"/>
      <c r="K14" s="223"/>
    </row>
    <row r="15" spans="1:9" s="161" customFormat="1" ht="15" customHeight="1">
      <c r="A15" s="75" t="s">
        <v>204</v>
      </c>
      <c r="B15" s="121">
        <f>SUM(B12:B13)</f>
        <v>4</v>
      </c>
      <c r="C15" s="92"/>
      <c r="D15" s="113">
        <f>SUM(D12:D13)</f>
        <v>65</v>
      </c>
      <c r="E15" s="147"/>
      <c r="F15" s="147">
        <f>SUM(F12:F13)</f>
        <v>1330.076</v>
      </c>
      <c r="G15" s="147"/>
      <c r="H15" s="147"/>
      <c r="I15" s="147">
        <f>SUM(I11:I14)</f>
        <v>2584.49</v>
      </c>
    </row>
    <row r="16" spans="1:9" s="161" customFormat="1" ht="15" customHeight="1">
      <c r="A16" s="230" t="s">
        <v>28</v>
      </c>
      <c r="B16" s="212"/>
      <c r="C16" s="228"/>
      <c r="D16" s="229"/>
      <c r="E16" s="167"/>
      <c r="F16" s="167"/>
      <c r="G16" s="167"/>
      <c r="H16" s="167"/>
      <c r="I16" s="167"/>
    </row>
    <row r="17" spans="1:9" s="53" customFormat="1" ht="18.75" customHeight="1">
      <c r="A17" s="401" t="s">
        <v>368</v>
      </c>
      <c r="B17" s="319"/>
      <c r="C17" s="421"/>
      <c r="D17" s="403"/>
      <c r="E17" s="369"/>
      <c r="F17" s="369"/>
      <c r="G17" s="404"/>
      <c r="H17" s="369"/>
      <c r="I17" s="369">
        <v>385.35</v>
      </c>
    </row>
    <row r="18" spans="1:9" s="161" customFormat="1" ht="15" customHeight="1">
      <c r="A18" s="75" t="s">
        <v>67</v>
      </c>
      <c r="B18" s="121">
        <f>SUM(B15:B16)</f>
        <v>4</v>
      </c>
      <c r="C18" s="92"/>
      <c r="D18" s="113">
        <f>SUM(D15:D16)</f>
        <v>65</v>
      </c>
      <c r="E18" s="147"/>
      <c r="F18" s="147">
        <f>SUM(F15:F16)</f>
        <v>1330.076</v>
      </c>
      <c r="G18" s="147"/>
      <c r="H18" s="147"/>
      <c r="I18" s="147">
        <f>SUM(I17)</f>
        <v>385.35</v>
      </c>
    </row>
    <row r="19" spans="1:9" s="51" customFormat="1" ht="15" customHeight="1">
      <c r="A19" s="77" t="s">
        <v>29</v>
      </c>
      <c r="B19" s="87"/>
      <c r="C19" s="358"/>
      <c r="D19" s="87"/>
      <c r="E19" s="383"/>
      <c r="F19" s="383"/>
      <c r="G19" s="383"/>
      <c r="H19" s="383"/>
      <c r="I19" s="422"/>
    </row>
    <row r="20" spans="1:10" s="220" customFormat="1" ht="15" customHeight="1">
      <c r="A20" s="532"/>
      <c r="B20" s="357">
        <v>1</v>
      </c>
      <c r="C20" s="423" t="s">
        <v>242</v>
      </c>
      <c r="D20" s="424">
        <v>21.5</v>
      </c>
      <c r="E20" s="353">
        <v>20.384</v>
      </c>
      <c r="F20" s="353">
        <f>D20*E20</f>
        <v>438.25600000000003</v>
      </c>
      <c r="G20" s="353"/>
      <c r="H20" s="353"/>
      <c r="I20" s="353">
        <f>F20</f>
        <v>438.25600000000003</v>
      </c>
      <c r="J20" s="246" t="s">
        <v>270</v>
      </c>
    </row>
    <row r="21" spans="1:9" s="161" customFormat="1" ht="15" customHeight="1">
      <c r="A21" s="75" t="s">
        <v>213</v>
      </c>
      <c r="B21" s="121">
        <f>SUM(B18:B19)</f>
        <v>4</v>
      </c>
      <c r="C21" s="92"/>
      <c r="D21" s="113">
        <f>SUM(D18:D19)</f>
        <v>65</v>
      </c>
      <c r="E21" s="147"/>
      <c r="F21" s="147">
        <f>SUM(F18:F19)</f>
        <v>1330.076</v>
      </c>
      <c r="G21" s="147"/>
      <c r="H21" s="147"/>
      <c r="I21" s="147">
        <f>SUM(I20)</f>
        <v>438.25600000000003</v>
      </c>
    </row>
    <row r="22" spans="1:11" s="51" customFormat="1" ht="15" customHeight="1">
      <c r="A22" s="28" t="s">
        <v>30</v>
      </c>
      <c r="B22" s="29"/>
      <c r="C22" s="58"/>
      <c r="D22" s="29"/>
      <c r="E22" s="206"/>
      <c r="F22" s="206"/>
      <c r="G22" s="206"/>
      <c r="H22" s="206"/>
      <c r="I22" s="167"/>
      <c r="K22" s="127"/>
    </row>
    <row r="23" spans="1:9" s="53" customFormat="1" ht="15" customHeight="1">
      <c r="A23" s="350" t="s">
        <v>368</v>
      </c>
      <c r="B23" s="317"/>
      <c r="C23" s="351"/>
      <c r="D23" s="352"/>
      <c r="E23" s="353"/>
      <c r="F23" s="353"/>
      <c r="G23" s="386"/>
      <c r="H23" s="353"/>
      <c r="I23" s="353">
        <v>305.76</v>
      </c>
    </row>
    <row r="24" spans="1:9" s="73" customFormat="1" ht="15" customHeight="1">
      <c r="A24" s="532"/>
      <c r="B24" s="300">
        <v>1</v>
      </c>
      <c r="C24" s="317" t="s">
        <v>236</v>
      </c>
      <c r="D24" s="300">
        <v>31</v>
      </c>
      <c r="E24" s="353">
        <v>20.384</v>
      </c>
      <c r="F24" s="353">
        <f>D24*E24</f>
        <v>631.904</v>
      </c>
      <c r="G24" s="353"/>
      <c r="H24" s="353"/>
      <c r="I24" s="353">
        <f>F24</f>
        <v>631.904</v>
      </c>
    </row>
    <row r="25" spans="1:11" s="73" customFormat="1" ht="15" customHeight="1">
      <c r="A25" s="532"/>
      <c r="B25" s="300">
        <v>1</v>
      </c>
      <c r="C25" s="317" t="s">
        <v>236</v>
      </c>
      <c r="D25" s="300">
        <v>33.55</v>
      </c>
      <c r="E25" s="353">
        <v>20.384</v>
      </c>
      <c r="F25" s="353">
        <f>D25*E25</f>
        <v>683.8832</v>
      </c>
      <c r="G25" s="353"/>
      <c r="H25" s="353"/>
      <c r="I25" s="353">
        <f>F25</f>
        <v>683.8832</v>
      </c>
      <c r="K25" s="223"/>
    </row>
    <row r="26" spans="1:9" s="161" customFormat="1" ht="15" customHeight="1">
      <c r="A26" s="75" t="s">
        <v>175</v>
      </c>
      <c r="B26" s="121">
        <f>SUM(B24:B25)</f>
        <v>2</v>
      </c>
      <c r="C26" s="92"/>
      <c r="D26" s="113">
        <f>SUM(D24:D25)</f>
        <v>64.55</v>
      </c>
      <c r="E26" s="147"/>
      <c r="F26" s="147">
        <f>SUM(F24:F25)</f>
        <v>1315.7872</v>
      </c>
      <c r="G26" s="147"/>
      <c r="H26" s="147"/>
      <c r="I26" s="147">
        <f>SUM(I23:I25)</f>
        <v>1621.5472</v>
      </c>
    </row>
    <row r="27" spans="1:11" s="51" customFormat="1" ht="15" customHeight="1">
      <c r="A27" s="28" t="s">
        <v>32</v>
      </c>
      <c r="B27" s="29"/>
      <c r="C27" s="58"/>
      <c r="D27" s="29"/>
      <c r="E27" s="206"/>
      <c r="F27" s="206"/>
      <c r="G27" s="206"/>
      <c r="H27" s="206"/>
      <c r="I27" s="167"/>
      <c r="K27" s="127"/>
    </row>
    <row r="28" spans="1:11" s="73" customFormat="1" ht="15" customHeight="1">
      <c r="A28" s="532"/>
      <c r="B28" s="359">
        <v>1</v>
      </c>
      <c r="C28" s="319" t="s">
        <v>242</v>
      </c>
      <c r="D28" s="359">
        <v>30</v>
      </c>
      <c r="E28" s="369">
        <v>20.384</v>
      </c>
      <c r="F28" s="369">
        <f>D28*E28</f>
        <v>611.52</v>
      </c>
      <c r="G28" s="369"/>
      <c r="H28" s="369"/>
      <c r="I28" s="369">
        <f>F28</f>
        <v>611.52</v>
      </c>
      <c r="K28" s="223"/>
    </row>
    <row r="29" spans="1:11" s="73" customFormat="1" ht="15" customHeight="1">
      <c r="A29" s="532"/>
      <c r="B29" s="359">
        <v>1</v>
      </c>
      <c r="C29" s="319" t="s">
        <v>242</v>
      </c>
      <c r="D29" s="359">
        <v>17</v>
      </c>
      <c r="E29" s="369">
        <v>20.384</v>
      </c>
      <c r="F29" s="369">
        <f>D29*E29</f>
        <v>346.528</v>
      </c>
      <c r="G29" s="369"/>
      <c r="H29" s="369"/>
      <c r="I29" s="369">
        <f>F29-1.62-0.01</f>
        <v>344.898</v>
      </c>
      <c r="K29" s="223"/>
    </row>
    <row r="30" spans="1:9" s="161" customFormat="1" ht="15" customHeight="1">
      <c r="A30" s="76" t="s">
        <v>83</v>
      </c>
      <c r="B30" s="175">
        <f>SUM(B24:B25)</f>
        <v>2</v>
      </c>
      <c r="C30" s="176"/>
      <c r="D30" s="177"/>
      <c r="E30" s="177"/>
      <c r="F30" s="178"/>
      <c r="G30" s="178"/>
      <c r="H30" s="178"/>
      <c r="I30" s="178">
        <f>SUM(I28:I29)</f>
        <v>956.418</v>
      </c>
    </row>
    <row r="31" spans="1:9" s="162" customFormat="1" ht="15" customHeight="1">
      <c r="A31" s="39" t="s">
        <v>181</v>
      </c>
      <c r="B31" s="103">
        <f>B9+B15+B20+B30</f>
        <v>8</v>
      </c>
      <c r="C31" s="102"/>
      <c r="D31" s="102"/>
      <c r="E31" s="102"/>
      <c r="F31" s="125"/>
      <c r="G31" s="125"/>
      <c r="H31" s="179"/>
      <c r="I31" s="148">
        <f>I30+I26+I21+I18+I15+I9</f>
        <v>7331.4052</v>
      </c>
    </row>
    <row r="34" ht="12.75">
      <c r="D34" s="34"/>
    </row>
    <row r="39" ht="12.75">
      <c r="H39" s="34"/>
    </row>
  </sheetData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11"/>
  <sheetViews>
    <sheetView workbookViewId="0" topLeftCell="A1">
      <selection activeCell="B14" sqref="B14"/>
    </sheetView>
  </sheetViews>
  <sheetFormatPr defaultColWidth="9.140625" defaultRowHeight="12.75"/>
  <cols>
    <col min="1" max="1" width="36.7109375" style="56" customWidth="1"/>
    <col min="2" max="2" width="28.421875" style="54" customWidth="1"/>
    <col min="3" max="3" width="6.57421875" style="97" customWidth="1"/>
    <col min="4" max="4" width="14.7109375" style="34" customWidth="1"/>
    <col min="5" max="5" width="18.421875" style="34" customWidth="1"/>
    <col min="6" max="6" width="19.8515625" style="54" customWidth="1"/>
    <col min="7" max="16384" width="11.57421875" style="54" customWidth="1"/>
  </cols>
  <sheetData>
    <row r="1" spans="1:7" s="48" customFormat="1" ht="30" customHeight="1">
      <c r="A1" s="545" t="s">
        <v>363</v>
      </c>
      <c r="B1" s="545"/>
      <c r="C1" s="545"/>
      <c r="D1" s="545"/>
      <c r="E1" s="545"/>
      <c r="F1" s="545"/>
      <c r="G1" s="280">
        <v>40070176</v>
      </c>
    </row>
    <row r="2" spans="1:6" s="49" customFormat="1" ht="48.75" customHeight="1">
      <c r="A2" s="567" t="s">
        <v>6</v>
      </c>
      <c r="B2" s="568"/>
      <c r="C2" s="568"/>
      <c r="D2" s="568"/>
      <c r="E2" s="568"/>
      <c r="F2" s="544"/>
    </row>
    <row r="3" spans="1:6" s="50" customFormat="1" ht="15" customHeight="1">
      <c r="A3" s="117" t="s">
        <v>12</v>
      </c>
      <c r="B3" s="26" t="s">
        <v>194</v>
      </c>
      <c r="C3" s="99" t="s">
        <v>195</v>
      </c>
      <c r="D3" s="35" t="s">
        <v>164</v>
      </c>
      <c r="E3" s="35" t="s">
        <v>196</v>
      </c>
      <c r="F3" s="64" t="s">
        <v>20</v>
      </c>
    </row>
    <row r="4" spans="1:6" s="51" customFormat="1" ht="15" customHeight="1">
      <c r="A4" s="28" t="s">
        <v>32</v>
      </c>
      <c r="B4" s="58"/>
      <c r="C4" s="425"/>
      <c r="D4" s="388"/>
      <c r="E4" s="388"/>
      <c r="F4" s="380"/>
    </row>
    <row r="5" spans="1:6" s="81" customFormat="1" ht="14.25" customHeight="1">
      <c r="A5" s="427" t="s">
        <v>55</v>
      </c>
      <c r="B5" s="400" t="s">
        <v>54</v>
      </c>
      <c r="C5" s="426"/>
      <c r="D5" s="404"/>
      <c r="E5" s="404"/>
      <c r="F5" s="369">
        <f>216+252</f>
        <v>468</v>
      </c>
    </row>
    <row r="6" spans="1:6" s="81" customFormat="1" ht="15" customHeight="1">
      <c r="A6" s="428" t="s">
        <v>56</v>
      </c>
      <c r="B6" s="318" t="s">
        <v>54</v>
      </c>
      <c r="C6" s="392"/>
      <c r="D6" s="353"/>
      <c r="E6" s="353"/>
      <c r="F6" s="353">
        <v>216</v>
      </c>
    </row>
    <row r="7" spans="1:6" s="161" customFormat="1" ht="15" customHeight="1">
      <c r="A7" s="41" t="s">
        <v>83</v>
      </c>
      <c r="B7" s="113"/>
      <c r="C7" s="112"/>
      <c r="D7" s="114"/>
      <c r="E7" s="147"/>
      <c r="F7" s="429">
        <f>SUM(F5:F6)</f>
        <v>684</v>
      </c>
    </row>
    <row r="8" spans="1:6" ht="15.75">
      <c r="A8" s="430" t="s">
        <v>181</v>
      </c>
      <c r="B8" s="113"/>
      <c r="C8" s="112"/>
      <c r="D8" s="114"/>
      <c r="E8" s="147"/>
      <c r="F8" s="431">
        <f>684</f>
        <v>684</v>
      </c>
    </row>
    <row r="11" ht="12.75">
      <c r="A11" s="98"/>
    </row>
  </sheetData>
  <mergeCells count="2">
    <mergeCell ref="A2:F2"/>
    <mergeCell ref="A1:F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14"/>
  <sheetViews>
    <sheetView workbookViewId="0" topLeftCell="A1">
      <selection activeCell="A13" sqref="A13"/>
    </sheetView>
  </sheetViews>
  <sheetFormatPr defaultColWidth="9.140625" defaultRowHeight="12.75"/>
  <cols>
    <col min="1" max="1" width="40.8515625" style="56" customWidth="1"/>
    <col min="2" max="2" width="28.00390625" style="54" customWidth="1"/>
    <col min="3" max="3" width="28.57421875" style="33" customWidth="1"/>
    <col min="4" max="4" width="16.00390625" style="34" customWidth="1"/>
    <col min="5" max="5" width="18.8515625" style="34" customWidth="1"/>
    <col min="6" max="16384" width="11.57421875" style="54" customWidth="1"/>
  </cols>
  <sheetData>
    <row r="1" spans="1:6" s="48" customFormat="1" ht="30" customHeight="1">
      <c r="A1" s="545" t="s">
        <v>364</v>
      </c>
      <c r="B1" s="545"/>
      <c r="C1" s="545"/>
      <c r="D1" s="545"/>
      <c r="E1" s="545"/>
      <c r="F1" s="254">
        <v>40070170</v>
      </c>
    </row>
    <row r="2" spans="1:5" s="49" customFormat="1" ht="39" customHeight="1">
      <c r="A2" s="551" t="s">
        <v>169</v>
      </c>
      <c r="B2" s="569"/>
      <c r="C2" s="570"/>
      <c r="D2" s="570"/>
      <c r="E2" s="570"/>
    </row>
    <row r="3" spans="1:5" s="50" customFormat="1" ht="15" customHeight="1">
      <c r="A3" s="29" t="s">
        <v>165</v>
      </c>
      <c r="B3" s="29" t="s">
        <v>200</v>
      </c>
      <c r="C3" s="29" t="s">
        <v>197</v>
      </c>
      <c r="D3" s="268" t="s">
        <v>249</v>
      </c>
      <c r="E3" s="29" t="s">
        <v>199</v>
      </c>
    </row>
    <row r="4" spans="1:5" s="51" customFormat="1" ht="15" customHeight="1">
      <c r="A4" s="37" t="s">
        <v>32</v>
      </c>
      <c r="B4" s="40"/>
      <c r="C4" s="29"/>
      <c r="D4" s="79"/>
      <c r="E4" s="414"/>
    </row>
    <row r="5" spans="1:5" s="53" customFormat="1" ht="15" customHeight="1">
      <c r="A5" s="432" t="s">
        <v>288</v>
      </c>
      <c r="B5" s="416" t="s">
        <v>70</v>
      </c>
      <c r="C5" s="433" t="s">
        <v>201</v>
      </c>
      <c r="D5" s="434">
        <v>33</v>
      </c>
      <c r="E5" s="419">
        <v>1956.24</v>
      </c>
    </row>
    <row r="6" spans="1:5" s="53" customFormat="1" ht="15" customHeight="1">
      <c r="A6" s="354" t="s">
        <v>295</v>
      </c>
      <c r="B6" s="317" t="s">
        <v>71</v>
      </c>
      <c r="C6" s="301" t="s">
        <v>84</v>
      </c>
      <c r="D6" s="303">
        <v>37</v>
      </c>
      <c r="E6" s="353">
        <f>2975+1295+329.59</f>
        <v>4599.59</v>
      </c>
    </row>
    <row r="7" spans="1:5" s="53" customFormat="1" ht="15" customHeight="1">
      <c r="A7" s="354" t="s">
        <v>72</v>
      </c>
      <c r="B7" s="317" t="s">
        <v>251</v>
      </c>
      <c r="C7" s="433" t="s">
        <v>201</v>
      </c>
      <c r="D7" s="303">
        <v>25</v>
      </c>
      <c r="E7" s="369">
        <v>1000</v>
      </c>
    </row>
    <row r="8" spans="1:5" s="53" customFormat="1" ht="15" customHeight="1">
      <c r="A8" s="354" t="s">
        <v>289</v>
      </c>
      <c r="B8" s="317" t="s">
        <v>250</v>
      </c>
      <c r="C8" s="433" t="s">
        <v>201</v>
      </c>
      <c r="D8" s="303">
        <v>32</v>
      </c>
      <c r="E8" s="369">
        <f>2670+768</f>
        <v>3438</v>
      </c>
    </row>
    <row r="9" spans="1:5" s="74" customFormat="1" ht="15" customHeight="1">
      <c r="A9" s="39" t="s">
        <v>181</v>
      </c>
      <c r="B9" s="101"/>
      <c r="C9" s="102"/>
      <c r="D9" s="269"/>
      <c r="E9" s="148">
        <f>SUM(E5:E8)</f>
        <v>10993.83</v>
      </c>
    </row>
    <row r="14" spans="3:4" ht="12.75">
      <c r="C14" s="100"/>
      <c r="D14" s="270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8"/>
  <sheetViews>
    <sheetView workbookViewId="0" topLeftCell="A1">
      <selection activeCell="A36" sqref="A36"/>
    </sheetView>
  </sheetViews>
  <sheetFormatPr defaultColWidth="9.140625" defaultRowHeight="12.75"/>
  <cols>
    <col min="1" max="1" width="46.28125" style="30" bestFit="1" customWidth="1"/>
    <col min="2" max="2" width="9.140625" style="30" customWidth="1"/>
    <col min="3" max="3" width="7.57421875" style="30" customWidth="1"/>
    <col min="4" max="4" width="6.7109375" style="30" customWidth="1"/>
    <col min="5" max="5" width="9.140625" style="30" customWidth="1"/>
    <col min="6" max="6" width="12.57421875" style="30" customWidth="1"/>
    <col min="7" max="7" width="9.140625" style="30" customWidth="1"/>
    <col min="8" max="8" width="11.140625" style="30" customWidth="1"/>
    <col min="9" max="9" width="11.421875" style="30" customWidth="1"/>
    <col min="10" max="10" width="16.421875" style="296" customWidth="1"/>
    <col min="11" max="11" width="30.7109375" style="30" customWidth="1"/>
    <col min="12" max="12" width="11.8515625" style="30" customWidth="1"/>
    <col min="13" max="16384" width="9.140625" style="30" customWidth="1"/>
  </cols>
  <sheetData>
    <row r="1" spans="1:12" ht="30" customHeight="1">
      <c r="A1" s="545" t="s">
        <v>330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287">
        <v>40071123</v>
      </c>
    </row>
    <row r="2" spans="1:11" ht="44.25" customHeight="1">
      <c r="A2" s="546" t="s">
        <v>331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30">
      <c r="A3" s="42" t="s">
        <v>332</v>
      </c>
      <c r="B3" s="29" t="s">
        <v>160</v>
      </c>
      <c r="C3" s="29" t="s">
        <v>33</v>
      </c>
      <c r="D3" s="29" t="s">
        <v>34</v>
      </c>
      <c r="E3" s="29" t="s">
        <v>161</v>
      </c>
      <c r="F3" s="29" t="s">
        <v>162</v>
      </c>
      <c r="G3" s="29" t="s">
        <v>163</v>
      </c>
      <c r="H3" s="29" t="s">
        <v>333</v>
      </c>
      <c r="I3" s="29" t="s">
        <v>334</v>
      </c>
      <c r="J3" s="79" t="s">
        <v>164</v>
      </c>
      <c r="K3" s="79" t="s">
        <v>335</v>
      </c>
    </row>
    <row r="4" spans="1:11" ht="15" customHeight="1">
      <c r="A4" s="288" t="s">
        <v>336</v>
      </c>
      <c r="B4" s="31"/>
      <c r="C4" s="31"/>
      <c r="D4" s="31"/>
      <c r="E4" s="31"/>
      <c r="F4" s="31"/>
      <c r="G4" s="31">
        <v>1994</v>
      </c>
      <c r="H4" s="31">
        <v>2</v>
      </c>
      <c r="I4" s="31">
        <v>4</v>
      </c>
      <c r="J4" s="289">
        <v>26</v>
      </c>
      <c r="K4" s="290">
        <v>104</v>
      </c>
    </row>
    <row r="5" spans="1:11" ht="15" customHeight="1">
      <c r="A5" s="288" t="s">
        <v>337</v>
      </c>
      <c r="B5" s="31"/>
      <c r="C5" s="31"/>
      <c r="D5" s="31"/>
      <c r="E5" s="31"/>
      <c r="F5" s="31"/>
      <c r="G5" s="31">
        <v>1994</v>
      </c>
      <c r="H5" s="31">
        <v>2</v>
      </c>
      <c r="I5" s="31">
        <v>4</v>
      </c>
      <c r="J5" s="289">
        <v>26</v>
      </c>
      <c r="K5" s="290">
        <v>104</v>
      </c>
    </row>
    <row r="6" spans="1:13" ht="15" customHeight="1">
      <c r="A6" s="288" t="s">
        <v>338</v>
      </c>
      <c r="B6" s="31"/>
      <c r="C6" s="31"/>
      <c r="D6" s="31"/>
      <c r="E6" s="31"/>
      <c r="F6" s="31"/>
      <c r="G6" s="31">
        <v>1994</v>
      </c>
      <c r="H6" s="31">
        <v>2</v>
      </c>
      <c r="I6" s="31">
        <v>4</v>
      </c>
      <c r="J6" s="289">
        <v>26</v>
      </c>
      <c r="K6" s="290">
        <v>104</v>
      </c>
      <c r="M6" s="291"/>
    </row>
    <row r="7" spans="1:11" ht="15" customHeight="1">
      <c r="A7" s="288" t="s">
        <v>339</v>
      </c>
      <c r="B7" s="31"/>
      <c r="C7" s="31"/>
      <c r="D7" s="31"/>
      <c r="E7" s="31"/>
      <c r="F7" s="31"/>
      <c r="G7" s="31">
        <v>1994</v>
      </c>
      <c r="H7" s="31">
        <v>2</v>
      </c>
      <c r="I7" s="31">
        <v>4</v>
      </c>
      <c r="J7" s="289">
        <v>26</v>
      </c>
      <c r="K7" s="290">
        <v>104</v>
      </c>
    </row>
    <row r="8" spans="1:11" ht="15" customHeight="1">
      <c r="A8" s="292" t="s">
        <v>348</v>
      </c>
      <c r="B8" s="293"/>
      <c r="C8" s="293"/>
      <c r="D8" s="293"/>
      <c r="E8" s="293"/>
      <c r="F8" s="293"/>
      <c r="G8" s="293"/>
      <c r="H8" s="293">
        <v>8</v>
      </c>
      <c r="I8" s="293">
        <v>16</v>
      </c>
      <c r="J8" s="294">
        <v>26</v>
      </c>
      <c r="K8" s="295">
        <f>SUM(K4:K7)</f>
        <v>416</v>
      </c>
    </row>
  </sheetData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52"/>
  <sheetViews>
    <sheetView workbookViewId="0" topLeftCell="A1">
      <selection activeCell="A27" sqref="A27"/>
    </sheetView>
  </sheetViews>
  <sheetFormatPr defaultColWidth="9.140625" defaultRowHeight="12.75"/>
  <cols>
    <col min="1" max="1" width="45.140625" style="443" customWidth="1"/>
    <col min="2" max="2" width="12.28125" style="443" customWidth="1"/>
    <col min="3" max="3" width="30.8515625" style="165" customWidth="1"/>
    <col min="4" max="4" width="14.57421875" style="50" customWidth="1"/>
    <col min="5" max="5" width="11.57421875" style="50" customWidth="1"/>
    <col min="6" max="6" width="14.00390625" style="444" customWidth="1"/>
    <col min="7" max="7" width="14.140625" style="444" customWidth="1"/>
    <col min="8" max="8" width="19.7109375" style="444" customWidth="1"/>
    <col min="9" max="9" width="15.7109375" style="165" customWidth="1"/>
    <col min="10" max="16384" width="11.57421875" style="165" customWidth="1"/>
  </cols>
  <sheetData>
    <row r="1" spans="1:10" s="48" customFormat="1" ht="30" customHeight="1">
      <c r="A1" s="545" t="s">
        <v>365</v>
      </c>
      <c r="B1" s="545"/>
      <c r="C1" s="545"/>
      <c r="D1" s="545"/>
      <c r="E1" s="545"/>
      <c r="F1" s="545"/>
      <c r="G1" s="545"/>
      <c r="H1" s="545"/>
      <c r="I1" s="545"/>
      <c r="J1" s="280">
        <v>40070174</v>
      </c>
    </row>
    <row r="2" spans="1:9" s="49" customFormat="1" ht="39" customHeight="1">
      <c r="A2" s="551" t="s">
        <v>78</v>
      </c>
      <c r="B2" s="551"/>
      <c r="C2" s="569"/>
      <c r="D2" s="569"/>
      <c r="E2" s="569"/>
      <c r="F2" s="569"/>
      <c r="G2" s="569"/>
      <c r="H2" s="569"/>
      <c r="I2" s="569"/>
    </row>
    <row r="3" spans="1:9" s="50" customFormat="1" ht="15" customHeight="1">
      <c r="A3" s="42" t="s">
        <v>12</v>
      </c>
      <c r="B3" s="29" t="s">
        <v>160</v>
      </c>
      <c r="C3" s="42" t="s">
        <v>184</v>
      </c>
      <c r="D3" s="29" t="s">
        <v>23</v>
      </c>
      <c r="E3" s="29" t="s">
        <v>14</v>
      </c>
      <c r="F3" s="79" t="s">
        <v>14</v>
      </c>
      <c r="G3" s="79" t="s">
        <v>15</v>
      </c>
      <c r="H3" s="79" t="s">
        <v>16</v>
      </c>
      <c r="I3" s="42" t="s">
        <v>20</v>
      </c>
    </row>
    <row r="4" spans="1:9" s="50" customFormat="1" ht="15" customHeight="1">
      <c r="A4" s="42"/>
      <c r="B4" s="29"/>
      <c r="C4" s="42"/>
      <c r="D4" s="29" t="s">
        <v>232</v>
      </c>
      <c r="E4" s="29" t="s">
        <v>233</v>
      </c>
      <c r="F4" s="79" t="s">
        <v>234</v>
      </c>
      <c r="G4" s="79" t="s">
        <v>235</v>
      </c>
      <c r="H4" s="79"/>
      <c r="I4" s="42"/>
    </row>
    <row r="5" spans="1:9" s="158" customFormat="1" ht="15" customHeight="1">
      <c r="A5" s="37" t="s">
        <v>26</v>
      </c>
      <c r="B5" s="29"/>
      <c r="C5" s="40"/>
      <c r="D5" s="29"/>
      <c r="E5" s="138"/>
      <c r="F5" s="394"/>
      <c r="G5" s="394"/>
      <c r="H5" s="394"/>
      <c r="I5" s="414"/>
    </row>
    <row r="6" spans="1:9" s="154" customFormat="1" ht="15" customHeight="1">
      <c r="A6" s="415" t="s">
        <v>368</v>
      </c>
      <c r="B6" s="416"/>
      <c r="C6" s="417"/>
      <c r="D6" s="418"/>
      <c r="E6" s="419"/>
      <c r="F6" s="419"/>
      <c r="G6" s="420"/>
      <c r="H6" s="419"/>
      <c r="I6" s="419">
        <v>1181.58</v>
      </c>
    </row>
    <row r="7" spans="1:10" s="436" customFormat="1" ht="15" customHeight="1">
      <c r="A7" s="532"/>
      <c r="B7" s="300">
        <v>1</v>
      </c>
      <c r="C7" s="317" t="s">
        <v>236</v>
      </c>
      <c r="D7" s="300">
        <v>258.5</v>
      </c>
      <c r="E7" s="353">
        <v>20.384</v>
      </c>
      <c r="F7" s="353">
        <f>D7*E7</f>
        <v>5269.264</v>
      </c>
      <c r="G7" s="353">
        <f>36.98+14.56+23.3+20.38+29.12+14.27</f>
        <v>138.61</v>
      </c>
      <c r="H7" s="353">
        <f>82.67+42.85+41.85+41.7+42.12+65.23+44.9+42.04</f>
        <v>403.36</v>
      </c>
      <c r="I7" s="353">
        <f>F7</f>
        <v>5269.264</v>
      </c>
      <c r="J7" s="435"/>
    </row>
    <row r="8" spans="1:11" s="156" customFormat="1" ht="15" customHeight="1">
      <c r="A8" s="75" t="s">
        <v>40</v>
      </c>
      <c r="B8" s="111">
        <f>SUM(B7)</f>
        <v>1</v>
      </c>
      <c r="C8" s="155"/>
      <c r="D8" s="173">
        <f>SUM(D7)</f>
        <v>258.5</v>
      </c>
      <c r="E8" s="174"/>
      <c r="F8" s="147">
        <f>SUM(F7)</f>
        <v>5269.264</v>
      </c>
      <c r="G8" s="147">
        <f>SUM(G7)</f>
        <v>138.61</v>
      </c>
      <c r="H8" s="171">
        <f>SUM(H7)</f>
        <v>403.36</v>
      </c>
      <c r="I8" s="147">
        <f>SUM(I6:I7)</f>
        <v>6450.844</v>
      </c>
      <c r="K8" s="227"/>
    </row>
    <row r="9" spans="1:9" s="158" customFormat="1" ht="15" customHeight="1">
      <c r="A9" s="28" t="s">
        <v>24</v>
      </c>
      <c r="B9" s="29"/>
      <c r="C9" s="58"/>
      <c r="D9" s="29"/>
      <c r="E9" s="206"/>
      <c r="F9" s="206"/>
      <c r="G9" s="206"/>
      <c r="H9" s="206"/>
      <c r="I9" s="437"/>
    </row>
    <row r="10" spans="1:9" s="154" customFormat="1" ht="15" customHeight="1">
      <c r="A10" s="350" t="s">
        <v>368</v>
      </c>
      <c r="B10" s="317"/>
      <c r="C10" s="351"/>
      <c r="D10" s="352"/>
      <c r="E10" s="353"/>
      <c r="F10" s="353"/>
      <c r="G10" s="386"/>
      <c r="H10" s="353"/>
      <c r="I10" s="353">
        <v>5527.78</v>
      </c>
    </row>
    <row r="11" spans="1:9" s="436" customFormat="1" ht="15" customHeight="1">
      <c r="A11" s="350" t="s">
        <v>114</v>
      </c>
      <c r="B11" s="300">
        <v>2</v>
      </c>
      <c r="C11" s="317" t="s">
        <v>242</v>
      </c>
      <c r="D11" s="300">
        <v>758.25</v>
      </c>
      <c r="E11" s="353">
        <v>20.384</v>
      </c>
      <c r="F11" s="353">
        <f aca="true" t="shared" si="0" ref="F11:F16">D11*E11</f>
        <v>15456.168</v>
      </c>
      <c r="G11" s="353"/>
      <c r="H11" s="353"/>
      <c r="I11" s="353">
        <f>F11</f>
        <v>15456.168</v>
      </c>
    </row>
    <row r="12" spans="1:9" s="438" customFormat="1" ht="15" customHeight="1">
      <c r="A12" s="350" t="s">
        <v>305</v>
      </c>
      <c r="B12" s="300">
        <v>8</v>
      </c>
      <c r="C12" s="317" t="s">
        <v>242</v>
      </c>
      <c r="D12" s="300">
        <v>294</v>
      </c>
      <c r="E12" s="353">
        <v>20.384</v>
      </c>
      <c r="F12" s="353">
        <f t="shared" si="0"/>
        <v>5992.896</v>
      </c>
      <c r="G12" s="353"/>
      <c r="H12" s="353"/>
      <c r="I12" s="353">
        <f aca="true" t="shared" si="1" ref="I12:I17">F12</f>
        <v>5992.896</v>
      </c>
    </row>
    <row r="13" spans="1:9" s="438" customFormat="1" ht="15" customHeight="1">
      <c r="A13" s="532"/>
      <c r="B13" s="300">
        <v>1</v>
      </c>
      <c r="C13" s="317" t="s">
        <v>242</v>
      </c>
      <c r="D13" s="300">
        <v>34</v>
      </c>
      <c r="E13" s="353">
        <v>20.384</v>
      </c>
      <c r="F13" s="353">
        <f t="shared" si="0"/>
        <v>693.056</v>
      </c>
      <c r="G13" s="353"/>
      <c r="H13" s="353"/>
      <c r="I13" s="353">
        <f t="shared" si="1"/>
        <v>693.056</v>
      </c>
    </row>
    <row r="14" spans="1:9" s="438" customFormat="1" ht="15" customHeight="1">
      <c r="A14" s="532"/>
      <c r="B14" s="300">
        <v>1</v>
      </c>
      <c r="C14" s="317" t="s">
        <v>242</v>
      </c>
      <c r="D14" s="300">
        <v>112</v>
      </c>
      <c r="E14" s="353">
        <v>20.384</v>
      </c>
      <c r="F14" s="353">
        <f t="shared" si="0"/>
        <v>2283.008</v>
      </c>
      <c r="G14" s="353"/>
      <c r="H14" s="353"/>
      <c r="I14" s="353">
        <f t="shared" si="1"/>
        <v>2283.008</v>
      </c>
    </row>
    <row r="15" spans="1:9" s="438" customFormat="1" ht="15" customHeight="1">
      <c r="A15" s="532"/>
      <c r="B15" s="300">
        <v>1</v>
      </c>
      <c r="C15" s="317" t="s">
        <v>242</v>
      </c>
      <c r="D15" s="300">
        <v>57.5</v>
      </c>
      <c r="E15" s="353">
        <v>20.384</v>
      </c>
      <c r="F15" s="353">
        <f t="shared" si="0"/>
        <v>1172.08</v>
      </c>
      <c r="G15" s="353"/>
      <c r="H15" s="353"/>
      <c r="I15" s="353">
        <f t="shared" si="1"/>
        <v>1172.08</v>
      </c>
    </row>
    <row r="16" spans="1:9" s="436" customFormat="1" ht="15" customHeight="1">
      <c r="A16" s="532"/>
      <c r="B16" s="300">
        <v>1</v>
      </c>
      <c r="C16" s="317" t="s">
        <v>242</v>
      </c>
      <c r="D16" s="300">
        <v>332.25</v>
      </c>
      <c r="E16" s="353">
        <v>20.384</v>
      </c>
      <c r="F16" s="353">
        <f t="shared" si="0"/>
        <v>6772.584</v>
      </c>
      <c r="G16" s="353"/>
      <c r="H16" s="353"/>
      <c r="I16" s="353">
        <f t="shared" si="1"/>
        <v>6772.584</v>
      </c>
    </row>
    <row r="17" spans="1:9" s="438" customFormat="1" ht="15" customHeight="1">
      <c r="A17" s="532"/>
      <c r="B17" s="300">
        <v>1</v>
      </c>
      <c r="C17" s="317" t="s">
        <v>242</v>
      </c>
      <c r="D17" s="300">
        <v>238.25</v>
      </c>
      <c r="E17" s="353">
        <v>20.384</v>
      </c>
      <c r="F17" s="353">
        <f>D17*E17</f>
        <v>4856.488</v>
      </c>
      <c r="G17" s="353"/>
      <c r="H17" s="353"/>
      <c r="I17" s="353">
        <f t="shared" si="1"/>
        <v>4856.488</v>
      </c>
    </row>
    <row r="18" spans="1:9" s="438" customFormat="1" ht="15" customHeight="1">
      <c r="A18" s="350" t="s">
        <v>113</v>
      </c>
      <c r="B18" s="300"/>
      <c r="C18" s="317" t="s">
        <v>242</v>
      </c>
      <c r="D18" s="300"/>
      <c r="E18" s="353"/>
      <c r="F18" s="353"/>
      <c r="G18" s="353">
        <v>1518.16</v>
      </c>
      <c r="H18" s="353">
        <f>3028.41-181.2</f>
        <v>2847.21</v>
      </c>
      <c r="I18" s="353">
        <f>G18+H18</f>
        <v>4365.37</v>
      </c>
    </row>
    <row r="19" spans="1:9" s="161" customFormat="1" ht="15" customHeight="1">
      <c r="A19" s="75" t="s">
        <v>204</v>
      </c>
      <c r="B19" s="121">
        <f>SUM(B12:B17)</f>
        <v>13</v>
      </c>
      <c r="C19" s="92"/>
      <c r="D19" s="113">
        <f>SUM(D11:D18)</f>
        <v>1826.25</v>
      </c>
      <c r="E19" s="147"/>
      <c r="F19" s="147">
        <f>SUM(F11:F18)</f>
        <v>37226.28</v>
      </c>
      <c r="G19" s="147">
        <f>SUM(G18)</f>
        <v>1518.16</v>
      </c>
      <c r="H19" s="147">
        <f>SUM(H18)</f>
        <v>2847.21</v>
      </c>
      <c r="I19" s="147">
        <f>SUM(I10:I18)</f>
        <v>47119.43000000001</v>
      </c>
    </row>
    <row r="20" spans="1:12" s="158" customFormat="1" ht="15" customHeight="1">
      <c r="A20" s="28" t="s">
        <v>28</v>
      </c>
      <c r="B20" s="29"/>
      <c r="C20" s="58"/>
      <c r="D20" s="29"/>
      <c r="E20" s="206"/>
      <c r="F20" s="206"/>
      <c r="G20" s="206"/>
      <c r="H20" s="206"/>
      <c r="I20" s="437"/>
      <c r="L20" s="439"/>
    </row>
    <row r="21" spans="1:9" s="154" customFormat="1" ht="15" customHeight="1">
      <c r="A21" s="350" t="s">
        <v>368</v>
      </c>
      <c r="B21" s="317"/>
      <c r="C21" s="351"/>
      <c r="D21" s="352"/>
      <c r="E21" s="353"/>
      <c r="F21" s="353"/>
      <c r="G21" s="386"/>
      <c r="H21" s="353"/>
      <c r="I21" s="353">
        <v>2232.05</v>
      </c>
    </row>
    <row r="22" spans="1:9" s="438" customFormat="1" ht="21" customHeight="1">
      <c r="A22" s="373" t="s">
        <v>273</v>
      </c>
      <c r="B22" s="300">
        <v>1</v>
      </c>
      <c r="C22" s="317" t="s">
        <v>236</v>
      </c>
      <c r="D22" s="300">
        <v>145.02</v>
      </c>
      <c r="E22" s="353">
        <v>20.384</v>
      </c>
      <c r="F22" s="353">
        <f>D22*E22</f>
        <v>2956.08768</v>
      </c>
      <c r="G22" s="353">
        <v>147.3</v>
      </c>
      <c r="H22" s="353">
        <v>2332.46</v>
      </c>
      <c r="I22" s="353">
        <f>F22+G22+H22</f>
        <v>5435.847680000001</v>
      </c>
    </row>
    <row r="23" spans="1:12" s="436" customFormat="1" ht="15" customHeight="1">
      <c r="A23" s="532"/>
      <c r="B23" s="300">
        <v>1</v>
      </c>
      <c r="C23" s="317" t="s">
        <v>7</v>
      </c>
      <c r="D23" s="300">
        <v>191.5</v>
      </c>
      <c r="E23" s="353">
        <v>20.384</v>
      </c>
      <c r="F23" s="353">
        <f>D23*E23</f>
        <v>3903.536</v>
      </c>
      <c r="G23" s="353">
        <v>548.24</v>
      </c>
      <c r="H23" s="353">
        <f>312.78-56.37</f>
        <v>256.40999999999997</v>
      </c>
      <c r="I23" s="353">
        <f>F23+G23+H23</f>
        <v>4708.186</v>
      </c>
      <c r="K23" s="435"/>
      <c r="L23" s="435"/>
    </row>
    <row r="24" spans="1:12" s="436" customFormat="1" ht="15" customHeight="1">
      <c r="A24" s="532"/>
      <c r="B24" s="300">
        <v>1</v>
      </c>
      <c r="C24" s="317" t="s">
        <v>236</v>
      </c>
      <c r="D24" s="300">
        <v>231.5</v>
      </c>
      <c r="E24" s="353">
        <v>20.384</v>
      </c>
      <c r="F24" s="353">
        <f>D24*E24</f>
        <v>4718.896</v>
      </c>
      <c r="G24" s="353">
        <v>345.8</v>
      </c>
      <c r="H24" s="353"/>
      <c r="I24" s="353">
        <f>F24+G24+H24</f>
        <v>5064.696</v>
      </c>
      <c r="L24" s="435"/>
    </row>
    <row r="25" spans="1:9" s="161" customFormat="1" ht="15" customHeight="1">
      <c r="A25" s="75" t="s">
        <v>67</v>
      </c>
      <c r="B25" s="112">
        <f>SUM(B22:B24)</f>
        <v>3</v>
      </c>
      <c r="C25" s="92"/>
      <c r="D25" s="113">
        <f>SUM(D22:D24)</f>
        <v>568.02</v>
      </c>
      <c r="E25" s="147"/>
      <c r="F25" s="147">
        <f>SUM(F22:F24)</f>
        <v>11578.519680000001</v>
      </c>
      <c r="G25" s="147">
        <f>SUM(G22:G24)</f>
        <v>1041.34</v>
      </c>
      <c r="H25" s="147">
        <f>SUM(H22:H24)</f>
        <v>2588.87</v>
      </c>
      <c r="I25" s="147">
        <f>SUM(I21:I24)</f>
        <v>17440.77968</v>
      </c>
    </row>
    <row r="26" spans="1:9" s="158" customFormat="1" ht="15" customHeight="1">
      <c r="A26" s="28" t="s">
        <v>30</v>
      </c>
      <c r="B26" s="29"/>
      <c r="C26" s="58"/>
      <c r="D26" s="29"/>
      <c r="E26" s="206"/>
      <c r="F26" s="206"/>
      <c r="G26" s="206"/>
      <c r="H26" s="206"/>
      <c r="I26" s="437"/>
    </row>
    <row r="27" spans="1:9" s="154" customFormat="1" ht="15" customHeight="1">
      <c r="A27" s="350" t="s">
        <v>368</v>
      </c>
      <c r="B27" s="317"/>
      <c r="C27" s="351"/>
      <c r="D27" s="352"/>
      <c r="E27" s="353"/>
      <c r="F27" s="353"/>
      <c r="G27" s="386"/>
      <c r="H27" s="353"/>
      <c r="I27" s="353">
        <v>4965.51</v>
      </c>
    </row>
    <row r="28" spans="1:11" s="436" customFormat="1" ht="15" customHeight="1">
      <c r="A28" s="350" t="s">
        <v>8</v>
      </c>
      <c r="B28" s="300">
        <v>3</v>
      </c>
      <c r="C28" s="390" t="s">
        <v>242</v>
      </c>
      <c r="D28" s="300">
        <v>700.5</v>
      </c>
      <c r="E28" s="353">
        <v>20.384</v>
      </c>
      <c r="F28" s="353">
        <f>D28*E28</f>
        <v>14278.992</v>
      </c>
      <c r="G28" s="353"/>
      <c r="H28" s="353"/>
      <c r="I28" s="353">
        <f>F28+G28+H28</f>
        <v>14278.992</v>
      </c>
      <c r="K28" s="435"/>
    </row>
    <row r="29" spans="1:11" s="436" customFormat="1" ht="15" customHeight="1">
      <c r="A29" s="350" t="s">
        <v>224</v>
      </c>
      <c r="B29" s="300"/>
      <c r="C29" s="400"/>
      <c r="D29" s="300"/>
      <c r="E29" s="353"/>
      <c r="F29" s="353">
        <v>1800</v>
      </c>
      <c r="G29" s="353"/>
      <c r="H29" s="353"/>
      <c r="I29" s="353">
        <v>1800</v>
      </c>
      <c r="K29" s="435"/>
    </row>
    <row r="30" spans="1:9" s="438" customFormat="1" ht="15" customHeight="1">
      <c r="A30" s="532"/>
      <c r="B30" s="300">
        <v>1</v>
      </c>
      <c r="C30" s="319" t="s">
        <v>242</v>
      </c>
      <c r="D30" s="351">
        <v>85</v>
      </c>
      <c r="E30" s="353">
        <v>20.384</v>
      </c>
      <c r="F30" s="353">
        <f>I30</f>
        <v>1732.6399999999999</v>
      </c>
      <c r="G30" s="353"/>
      <c r="H30" s="353"/>
      <c r="I30" s="353">
        <f>1386.11+346.53</f>
        <v>1732.6399999999999</v>
      </c>
    </row>
    <row r="31" spans="1:9" s="438" customFormat="1" ht="15" customHeight="1">
      <c r="A31" s="532"/>
      <c r="B31" s="300">
        <v>1</v>
      </c>
      <c r="C31" s="319" t="s">
        <v>242</v>
      </c>
      <c r="D31" s="300">
        <v>59.5</v>
      </c>
      <c r="E31" s="353">
        <v>20.384</v>
      </c>
      <c r="F31" s="353">
        <f>D31*E31</f>
        <v>1212.848</v>
      </c>
      <c r="G31" s="353"/>
      <c r="H31" s="353"/>
      <c r="I31" s="353">
        <f>F31+G31+H31</f>
        <v>1212.848</v>
      </c>
    </row>
    <row r="32" spans="1:9" s="438" customFormat="1" ht="15" customHeight="1">
      <c r="A32" s="532"/>
      <c r="B32" s="300">
        <v>1</v>
      </c>
      <c r="C32" s="319" t="s">
        <v>242</v>
      </c>
      <c r="D32" s="300">
        <v>72</v>
      </c>
      <c r="E32" s="353">
        <v>20.384</v>
      </c>
      <c r="F32" s="353">
        <f>D32*E32</f>
        <v>1467.6480000000001</v>
      </c>
      <c r="G32" s="353"/>
      <c r="H32" s="353"/>
      <c r="I32" s="353">
        <f>F32+G32+H32</f>
        <v>1467.6480000000001</v>
      </c>
    </row>
    <row r="33" spans="1:9" s="438" customFormat="1" ht="15" customHeight="1">
      <c r="A33" s="532"/>
      <c r="B33" s="300">
        <v>1</v>
      </c>
      <c r="C33" s="319" t="s">
        <v>242</v>
      </c>
      <c r="D33" s="300">
        <v>62</v>
      </c>
      <c r="E33" s="353">
        <v>20.384</v>
      </c>
      <c r="F33" s="353">
        <f>D33*E33</f>
        <v>1263.808</v>
      </c>
      <c r="G33" s="353"/>
      <c r="H33" s="353"/>
      <c r="I33" s="353">
        <f>F33+G33+H33</f>
        <v>1263.808</v>
      </c>
    </row>
    <row r="34" spans="1:9" s="438" customFormat="1" ht="15" customHeight="1">
      <c r="A34" s="532"/>
      <c r="B34" s="300">
        <v>1</v>
      </c>
      <c r="C34" s="319" t="s">
        <v>242</v>
      </c>
      <c r="D34" s="300">
        <f>638-145</f>
        <v>493</v>
      </c>
      <c r="E34" s="353">
        <v>20.384</v>
      </c>
      <c r="F34" s="353">
        <f>D34*E34</f>
        <v>10049.312</v>
      </c>
      <c r="G34" s="353"/>
      <c r="H34" s="353"/>
      <c r="I34" s="353">
        <f>F34+G34+H34</f>
        <v>10049.312</v>
      </c>
    </row>
    <row r="35" spans="1:9" s="438" customFormat="1" ht="15" customHeight="1">
      <c r="A35" s="350" t="s">
        <v>113</v>
      </c>
      <c r="B35" s="300"/>
      <c r="C35" s="319" t="s">
        <v>242</v>
      </c>
      <c r="D35" s="300"/>
      <c r="E35" s="353"/>
      <c r="F35" s="353"/>
      <c r="G35" s="353"/>
      <c r="H35" s="353"/>
      <c r="I35" s="353">
        <v>2743.67</v>
      </c>
    </row>
    <row r="36" spans="1:9" s="161" customFormat="1" ht="15" customHeight="1">
      <c r="A36" s="75" t="s">
        <v>175</v>
      </c>
      <c r="B36" s="112">
        <f>SUM(B27:B35)</f>
        <v>8</v>
      </c>
      <c r="C36" s="92"/>
      <c r="D36" s="113">
        <f>SUM(D28:D34)</f>
        <v>1472</v>
      </c>
      <c r="E36" s="147"/>
      <c r="F36" s="147">
        <f>SUM(F28:F35)</f>
        <v>31805.248000000007</v>
      </c>
      <c r="G36" s="147">
        <f>SUM(G28:G34)</f>
        <v>0</v>
      </c>
      <c r="H36" s="147">
        <f>SUM(H28:H34)</f>
        <v>0</v>
      </c>
      <c r="I36" s="147">
        <f>SUM(I27:I35)</f>
        <v>39514.428</v>
      </c>
    </row>
    <row r="37" spans="1:9" s="158" customFormat="1" ht="15" customHeight="1">
      <c r="A37" s="28" t="s">
        <v>32</v>
      </c>
      <c r="B37" s="29"/>
      <c r="C37" s="58"/>
      <c r="D37" s="29"/>
      <c r="E37" s="206"/>
      <c r="F37" s="206"/>
      <c r="G37" s="206"/>
      <c r="H37" s="206"/>
      <c r="I37" s="440"/>
    </row>
    <row r="38" spans="1:11" s="438" customFormat="1" ht="15" customHeight="1">
      <c r="A38" s="350" t="s">
        <v>9</v>
      </c>
      <c r="B38" s="300"/>
      <c r="C38" s="317" t="s">
        <v>242</v>
      </c>
      <c r="D38" s="300">
        <v>244.5</v>
      </c>
      <c r="E38" s="353">
        <v>19.812</v>
      </c>
      <c r="F38" s="353">
        <f>E38*D38</f>
        <v>4844.034000000001</v>
      </c>
      <c r="G38" s="353"/>
      <c r="H38" s="353"/>
      <c r="I38" s="353"/>
      <c r="K38" s="441"/>
    </row>
    <row r="39" spans="1:9" s="438" customFormat="1" ht="15" customHeight="1">
      <c r="A39" s="532"/>
      <c r="B39" s="300">
        <v>1</v>
      </c>
      <c r="C39" s="317" t="s">
        <v>236</v>
      </c>
      <c r="D39" s="300">
        <v>232.25</v>
      </c>
      <c r="E39" s="353">
        <v>19.812</v>
      </c>
      <c r="F39" s="353">
        <f>E39*D39</f>
        <v>4601.337</v>
      </c>
      <c r="G39" s="353"/>
      <c r="H39" s="353"/>
      <c r="I39" s="353"/>
    </row>
    <row r="40" spans="1:9" s="438" customFormat="1" ht="15" customHeight="1">
      <c r="A40" s="532"/>
      <c r="B40" s="300">
        <v>1</v>
      </c>
      <c r="C40" s="317" t="s">
        <v>236</v>
      </c>
      <c r="D40" s="300">
        <v>198.5</v>
      </c>
      <c r="E40" s="353">
        <v>19.812</v>
      </c>
      <c r="F40" s="353">
        <f>E40*D40</f>
        <v>3932.6820000000002</v>
      </c>
      <c r="G40" s="353"/>
      <c r="H40" s="353"/>
      <c r="I40" s="353"/>
    </row>
    <row r="41" spans="1:9" s="438" customFormat="1" ht="15" customHeight="1">
      <c r="A41" s="532"/>
      <c r="B41" s="300">
        <v>1</v>
      </c>
      <c r="C41" s="317" t="s">
        <v>236</v>
      </c>
      <c r="D41" s="300">
        <v>153.75</v>
      </c>
      <c r="E41" s="353">
        <v>19.812</v>
      </c>
      <c r="F41" s="353">
        <f>E41*D41</f>
        <v>3046.0950000000003</v>
      </c>
      <c r="G41" s="353"/>
      <c r="H41" s="353"/>
      <c r="I41" s="353"/>
    </row>
    <row r="42" spans="1:9" s="438" customFormat="1" ht="15" customHeight="1">
      <c r="A42" s="442" t="s">
        <v>113</v>
      </c>
      <c r="B42" s="300"/>
      <c r="C42" s="300"/>
      <c r="D42" s="300"/>
      <c r="E42" s="353"/>
      <c r="F42" s="353"/>
      <c r="G42" s="353">
        <v>381.93</v>
      </c>
      <c r="H42" s="353">
        <v>227.51</v>
      </c>
      <c r="I42" s="353"/>
    </row>
    <row r="43" spans="1:9" s="161" customFormat="1" ht="15" customHeight="1">
      <c r="A43" s="41" t="s">
        <v>83</v>
      </c>
      <c r="B43" s="112">
        <f>SUM(B38:B41)</f>
        <v>3</v>
      </c>
      <c r="C43" s="113"/>
      <c r="D43" s="113"/>
      <c r="E43" s="113"/>
      <c r="F43" s="147">
        <f>SUM(F38:F42)</f>
        <v>16424.148</v>
      </c>
      <c r="G43" s="147">
        <f>SUM(G42:G42)</f>
        <v>381.93</v>
      </c>
      <c r="H43" s="147">
        <f>H42</f>
        <v>227.51</v>
      </c>
      <c r="I43" s="147">
        <f>F43+G43+H43</f>
        <v>17033.588</v>
      </c>
    </row>
    <row r="44" spans="1:9" s="162" customFormat="1" ht="15" customHeight="1">
      <c r="A44" s="39" t="s">
        <v>181</v>
      </c>
      <c r="B44" s="111"/>
      <c r="C44" s="111"/>
      <c r="D44" s="111"/>
      <c r="E44" s="111"/>
      <c r="F44" s="147"/>
      <c r="G44" s="147"/>
      <c r="H44" s="431">
        <f>SUM(H43)</f>
        <v>227.51</v>
      </c>
      <c r="I44" s="148">
        <f>I43+I36+I25+I19+I8</f>
        <v>127559.06968000002</v>
      </c>
    </row>
    <row r="45" ht="15.75"/>
    <row r="46" ht="15.75">
      <c r="I46" s="166"/>
    </row>
    <row r="47" ht="15">
      <c r="I47" s="166"/>
    </row>
    <row r="48" spans="3:5" ht="15">
      <c r="C48" s="166"/>
      <c r="E48" s="444"/>
    </row>
    <row r="49" ht="15">
      <c r="E49" s="444"/>
    </row>
    <row r="50" ht="15">
      <c r="I50" s="166"/>
    </row>
    <row r="52" ht="15">
      <c r="I52" s="166"/>
    </row>
  </sheetData>
  <mergeCells count="2">
    <mergeCell ref="A2:I2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I75"/>
  <sheetViews>
    <sheetView workbookViewId="0" topLeftCell="A55">
      <selection activeCell="A44" sqref="A44"/>
    </sheetView>
  </sheetViews>
  <sheetFormatPr defaultColWidth="9.140625" defaultRowHeight="12.75"/>
  <cols>
    <col min="1" max="1" width="43.7109375" style="1" customWidth="1"/>
    <col min="2" max="2" width="16.140625" style="1" customWidth="1"/>
    <col min="3" max="3" width="22.28125" style="9" customWidth="1"/>
    <col min="4" max="4" width="13.00390625" style="2" customWidth="1"/>
    <col min="5" max="5" width="11.57421875" style="2" customWidth="1"/>
    <col min="6" max="6" width="20.7109375" style="12" customWidth="1"/>
    <col min="7" max="16384" width="11.57421875" style="9" customWidth="1"/>
  </cols>
  <sheetData>
    <row r="1" spans="1:7" s="3" customFormat="1" ht="30" customHeight="1">
      <c r="A1" s="545" t="s">
        <v>366</v>
      </c>
      <c r="B1" s="545"/>
      <c r="C1" s="545"/>
      <c r="D1" s="545"/>
      <c r="E1" s="545"/>
      <c r="F1" s="545"/>
      <c r="G1" s="1">
        <v>40070184</v>
      </c>
    </row>
    <row r="2" spans="1:6" s="4" customFormat="1" ht="39" customHeight="1">
      <c r="A2" s="551" t="s">
        <v>266</v>
      </c>
      <c r="B2" s="551"/>
      <c r="C2" s="575"/>
      <c r="D2" s="576"/>
      <c r="E2" s="576"/>
      <c r="F2" s="576"/>
    </row>
    <row r="3" spans="1:6" s="5" customFormat="1" ht="15" customHeight="1">
      <c r="A3" s="44" t="s">
        <v>12</v>
      </c>
      <c r="B3" s="45" t="s">
        <v>160</v>
      </c>
      <c r="C3" s="44" t="s">
        <v>184</v>
      </c>
      <c r="D3" s="45" t="s">
        <v>23</v>
      </c>
      <c r="E3" s="45" t="s">
        <v>14</v>
      </c>
      <c r="F3" s="78" t="s">
        <v>14</v>
      </c>
    </row>
    <row r="4" spans="1:6" s="5" customFormat="1" ht="15" customHeight="1">
      <c r="A4" s="44"/>
      <c r="B4" s="45"/>
      <c r="C4" s="44"/>
      <c r="D4" s="45" t="s">
        <v>232</v>
      </c>
      <c r="E4" s="45" t="s">
        <v>233</v>
      </c>
      <c r="F4" s="78" t="s">
        <v>234</v>
      </c>
    </row>
    <row r="5" spans="1:6" s="6" customFormat="1" ht="15" customHeight="1">
      <c r="A5" s="470" t="s">
        <v>26</v>
      </c>
      <c r="B5" s="45"/>
      <c r="C5" s="471"/>
      <c r="D5" s="45"/>
      <c r="E5" s="44"/>
      <c r="F5" s="445"/>
    </row>
    <row r="6" spans="1:6" s="7" customFormat="1" ht="15" customHeight="1">
      <c r="A6" s="534"/>
      <c r="B6" s="466">
        <v>1</v>
      </c>
      <c r="C6" s="467" t="s">
        <v>242</v>
      </c>
      <c r="D6" s="468">
        <v>145.5</v>
      </c>
      <c r="E6" s="469">
        <v>20.384</v>
      </c>
      <c r="F6" s="469">
        <f>D6*E6</f>
        <v>2965.872</v>
      </c>
    </row>
    <row r="7" spans="1:6" s="185" customFormat="1" ht="15" customHeight="1">
      <c r="A7" s="95" t="s">
        <v>40</v>
      </c>
      <c r="B7" s="182">
        <f>SUM(B6:B6)</f>
        <v>1</v>
      </c>
      <c r="C7" s="107"/>
      <c r="D7" s="183">
        <f>SUM(D6:D6)</f>
        <v>145.5</v>
      </c>
      <c r="E7" s="184"/>
      <c r="F7" s="184">
        <f>SUM(F6:F6)</f>
        <v>2965.872</v>
      </c>
    </row>
    <row r="8" spans="1:6" s="6" customFormat="1" ht="15.75" customHeight="1">
      <c r="A8" s="93" t="s">
        <v>24</v>
      </c>
      <c r="B8" s="45"/>
      <c r="C8" s="106"/>
      <c r="D8" s="449"/>
      <c r="E8" s="450"/>
      <c r="F8" s="450"/>
    </row>
    <row r="9" spans="1:6" s="53" customFormat="1" ht="15" customHeight="1">
      <c r="A9" s="350" t="s">
        <v>368</v>
      </c>
      <c r="B9" s="317"/>
      <c r="C9" s="351"/>
      <c r="D9" s="352"/>
      <c r="E9" s="353"/>
      <c r="F9" s="353">
        <v>300</v>
      </c>
    </row>
    <row r="10" spans="1:6" s="7" customFormat="1" ht="15" customHeight="1">
      <c r="A10" s="534"/>
      <c r="B10" s="239">
        <v>1</v>
      </c>
      <c r="C10" s="446" t="s">
        <v>236</v>
      </c>
      <c r="D10" s="447">
        <v>103</v>
      </c>
      <c r="E10" s="448">
        <v>20.384</v>
      </c>
      <c r="F10" s="448">
        <f aca="true" t="shared" si="0" ref="F10:F16">D10*E10</f>
        <v>2099.552</v>
      </c>
    </row>
    <row r="11" spans="1:6" s="7" customFormat="1" ht="15" customHeight="1">
      <c r="A11" s="534"/>
      <c r="B11" s="239">
        <v>1</v>
      </c>
      <c r="C11" s="446" t="s">
        <v>242</v>
      </c>
      <c r="D11" s="447">
        <v>205</v>
      </c>
      <c r="E11" s="448">
        <v>20.384</v>
      </c>
      <c r="F11" s="448">
        <f t="shared" si="0"/>
        <v>4178.72</v>
      </c>
    </row>
    <row r="12" spans="1:6" s="7" customFormat="1" ht="15" customHeight="1">
      <c r="A12" s="534"/>
      <c r="B12" s="239">
        <v>1</v>
      </c>
      <c r="C12" s="446" t="s">
        <v>242</v>
      </c>
      <c r="D12" s="447">
        <v>105</v>
      </c>
      <c r="E12" s="448">
        <v>20.384</v>
      </c>
      <c r="F12" s="448">
        <f t="shared" si="0"/>
        <v>2140.32</v>
      </c>
    </row>
    <row r="13" spans="1:6" s="224" customFormat="1" ht="15" customHeight="1">
      <c r="A13" s="534"/>
      <c r="B13" s="451">
        <v>1</v>
      </c>
      <c r="C13" s="446" t="s">
        <v>242</v>
      </c>
      <c r="D13" s="452">
        <v>49</v>
      </c>
      <c r="E13" s="448">
        <v>20.384</v>
      </c>
      <c r="F13" s="448">
        <f t="shared" si="0"/>
        <v>998.816</v>
      </c>
    </row>
    <row r="14" spans="1:6" s="224" customFormat="1" ht="15" customHeight="1">
      <c r="A14" s="534"/>
      <c r="B14" s="451">
        <v>1</v>
      </c>
      <c r="C14" s="446" t="s">
        <v>242</v>
      </c>
      <c r="D14" s="452">
        <v>66</v>
      </c>
      <c r="E14" s="448">
        <v>20.384</v>
      </c>
      <c r="F14" s="448">
        <f t="shared" si="0"/>
        <v>1345.344</v>
      </c>
    </row>
    <row r="15" spans="1:6" s="10" customFormat="1" ht="15" customHeight="1">
      <c r="A15" s="534"/>
      <c r="B15" s="451">
        <v>1</v>
      </c>
      <c r="C15" s="446" t="s">
        <v>7</v>
      </c>
      <c r="D15" s="452">
        <v>92</v>
      </c>
      <c r="E15" s="448">
        <v>20.384</v>
      </c>
      <c r="F15" s="448">
        <v>1870.98</v>
      </c>
    </row>
    <row r="16" spans="1:6" s="10" customFormat="1" ht="15" customHeight="1">
      <c r="A16" s="534"/>
      <c r="B16" s="451">
        <v>1</v>
      </c>
      <c r="C16" s="446" t="s">
        <v>242</v>
      </c>
      <c r="D16" s="452">
        <v>52</v>
      </c>
      <c r="E16" s="448">
        <v>20.384</v>
      </c>
      <c r="F16" s="448">
        <f t="shared" si="0"/>
        <v>1059.968</v>
      </c>
    </row>
    <row r="17" spans="1:6" s="10" customFormat="1" ht="15" customHeight="1">
      <c r="A17" s="534"/>
      <c r="B17" s="451">
        <v>1</v>
      </c>
      <c r="C17" s="446" t="s">
        <v>236</v>
      </c>
      <c r="D17" s="452">
        <v>105</v>
      </c>
      <c r="E17" s="448">
        <v>20.384</v>
      </c>
      <c r="F17" s="448">
        <f aca="true" t="shared" si="1" ref="F17:F27">D17*E17</f>
        <v>2140.32</v>
      </c>
    </row>
    <row r="18" spans="1:9" s="10" customFormat="1" ht="15" customHeight="1">
      <c r="A18" s="534"/>
      <c r="B18" s="451">
        <v>1</v>
      </c>
      <c r="C18" s="446" t="s">
        <v>236</v>
      </c>
      <c r="D18" s="452">
        <v>100</v>
      </c>
      <c r="E18" s="448">
        <v>20.384</v>
      </c>
      <c r="F18" s="448">
        <f t="shared" si="1"/>
        <v>2038.4</v>
      </c>
      <c r="I18" s="243"/>
    </row>
    <row r="19" spans="1:6" s="10" customFormat="1" ht="15" customHeight="1">
      <c r="A19" s="534"/>
      <c r="B19" s="451">
        <v>1</v>
      </c>
      <c r="C19" s="446" t="s">
        <v>242</v>
      </c>
      <c r="D19" s="452">
        <v>76</v>
      </c>
      <c r="E19" s="448">
        <v>20.384</v>
      </c>
      <c r="F19" s="448">
        <f t="shared" si="1"/>
        <v>1549.184</v>
      </c>
    </row>
    <row r="20" spans="1:6" s="10" customFormat="1" ht="15" customHeight="1">
      <c r="A20" s="534"/>
      <c r="B20" s="451">
        <v>1</v>
      </c>
      <c r="C20" s="446" t="s">
        <v>242</v>
      </c>
      <c r="D20" s="452">
        <v>248</v>
      </c>
      <c r="E20" s="448">
        <v>20.384</v>
      </c>
      <c r="F20" s="448">
        <f t="shared" si="1"/>
        <v>5055.232</v>
      </c>
    </row>
    <row r="21" spans="1:6" s="10" customFormat="1" ht="15" customHeight="1">
      <c r="A21" s="534"/>
      <c r="B21" s="451">
        <v>1</v>
      </c>
      <c r="C21" s="446" t="s">
        <v>242</v>
      </c>
      <c r="D21" s="452">
        <v>59.5</v>
      </c>
      <c r="E21" s="448">
        <v>20.384</v>
      </c>
      <c r="F21" s="448">
        <f t="shared" si="1"/>
        <v>1212.848</v>
      </c>
    </row>
    <row r="22" spans="1:6" s="10" customFormat="1" ht="15" customHeight="1">
      <c r="A22" s="534"/>
      <c r="B22" s="451">
        <v>1</v>
      </c>
      <c r="C22" s="446" t="s">
        <v>242</v>
      </c>
      <c r="D22" s="452">
        <v>70</v>
      </c>
      <c r="E22" s="448">
        <v>20.384</v>
      </c>
      <c r="F22" s="448">
        <f t="shared" si="1"/>
        <v>1426.88</v>
      </c>
    </row>
    <row r="23" spans="1:6" s="10" customFormat="1" ht="15" customHeight="1">
      <c r="A23" s="534"/>
      <c r="B23" s="451">
        <v>1</v>
      </c>
      <c r="C23" s="446" t="s">
        <v>242</v>
      </c>
      <c r="D23" s="452">
        <v>289</v>
      </c>
      <c r="E23" s="448">
        <v>20.384</v>
      </c>
      <c r="F23" s="448">
        <f t="shared" si="1"/>
        <v>5890.976</v>
      </c>
    </row>
    <row r="24" spans="1:6" s="10" customFormat="1" ht="15" customHeight="1">
      <c r="A24" s="534"/>
      <c r="B24" s="451">
        <v>1</v>
      </c>
      <c r="C24" s="446" t="s">
        <v>236</v>
      </c>
      <c r="D24" s="452">
        <v>64</v>
      </c>
      <c r="E24" s="448">
        <v>20.384</v>
      </c>
      <c r="F24" s="448">
        <f t="shared" si="1"/>
        <v>1304.576</v>
      </c>
    </row>
    <row r="25" spans="1:6" s="10" customFormat="1" ht="15" customHeight="1">
      <c r="A25" s="534"/>
      <c r="B25" s="451">
        <v>1</v>
      </c>
      <c r="C25" s="446" t="s">
        <v>236</v>
      </c>
      <c r="D25" s="452">
        <v>53</v>
      </c>
      <c r="E25" s="448">
        <v>20.384</v>
      </c>
      <c r="F25" s="448">
        <f t="shared" si="1"/>
        <v>1080.352</v>
      </c>
    </row>
    <row r="26" spans="1:6" s="10" customFormat="1" ht="15" customHeight="1">
      <c r="A26" s="534"/>
      <c r="B26" s="451">
        <v>1</v>
      </c>
      <c r="C26" s="446" t="s">
        <v>242</v>
      </c>
      <c r="D26" s="452">
        <v>27</v>
      </c>
      <c r="E26" s="448">
        <v>20.384</v>
      </c>
      <c r="F26" s="448">
        <f t="shared" si="1"/>
        <v>550.368</v>
      </c>
    </row>
    <row r="27" spans="1:6" s="10" customFormat="1" ht="15" customHeight="1">
      <c r="A27" s="534"/>
      <c r="B27" s="451">
        <v>1</v>
      </c>
      <c r="C27" s="446" t="s">
        <v>242</v>
      </c>
      <c r="D27" s="452">
        <v>272</v>
      </c>
      <c r="E27" s="448">
        <v>20.384</v>
      </c>
      <c r="F27" s="448">
        <f t="shared" si="1"/>
        <v>5544.448</v>
      </c>
    </row>
    <row r="28" spans="1:6" s="185" customFormat="1" ht="15" customHeight="1">
      <c r="A28" s="95" t="s">
        <v>237</v>
      </c>
      <c r="B28" s="186">
        <f>SUM(B10:B27)</f>
        <v>18</v>
      </c>
      <c r="C28" s="107"/>
      <c r="D28" s="183">
        <f>SUM(D10:D27)</f>
        <v>2035.5</v>
      </c>
      <c r="E28" s="184"/>
      <c r="F28" s="184">
        <f>SUM(F9:F27)</f>
        <v>41787.284</v>
      </c>
    </row>
    <row r="29" spans="1:6" s="240" customFormat="1" ht="15" customHeight="1">
      <c r="A29" s="534"/>
      <c r="B29" s="453"/>
      <c r="C29" s="454" t="s">
        <v>207</v>
      </c>
      <c r="D29" s="452">
        <v>34.5</v>
      </c>
      <c r="E29" s="448">
        <v>22.88</v>
      </c>
      <c r="F29" s="448">
        <f>D29*E29</f>
        <v>789.36</v>
      </c>
    </row>
    <row r="30" spans="1:6" s="240" customFormat="1" ht="15" customHeight="1">
      <c r="A30" s="455" t="s">
        <v>115</v>
      </c>
      <c r="B30" s="453"/>
      <c r="C30" s="454" t="s">
        <v>240</v>
      </c>
      <c r="D30" s="452"/>
      <c r="E30" s="448"/>
      <c r="F30" s="448">
        <f>666.9+65.73</f>
        <v>732.63</v>
      </c>
    </row>
    <row r="31" spans="1:6" s="185" customFormat="1" ht="15" customHeight="1">
      <c r="A31" s="95" t="s">
        <v>204</v>
      </c>
      <c r="B31" s="186">
        <v>17</v>
      </c>
      <c r="C31" s="107"/>
      <c r="D31" s="183">
        <f>SUM(D28:D28)</f>
        <v>2035.5</v>
      </c>
      <c r="E31" s="184"/>
      <c r="F31" s="184">
        <f>SUM(F28:F30)</f>
        <v>43309.274</v>
      </c>
    </row>
    <row r="32" spans="1:8" s="6" customFormat="1" ht="15" customHeight="1">
      <c r="A32" s="93" t="s">
        <v>27</v>
      </c>
      <c r="B32" s="45"/>
      <c r="C32" s="106"/>
      <c r="D32" s="449"/>
      <c r="E32" s="450"/>
      <c r="F32" s="450"/>
      <c r="H32" s="24"/>
    </row>
    <row r="33" spans="1:6" s="224" customFormat="1" ht="15" customHeight="1">
      <c r="A33" s="534"/>
      <c r="B33" s="451">
        <v>1</v>
      </c>
      <c r="C33" s="446" t="s">
        <v>242</v>
      </c>
      <c r="D33" s="452">
        <v>180</v>
      </c>
      <c r="E33" s="448">
        <v>20.384</v>
      </c>
      <c r="F33" s="448">
        <f>D33*E33</f>
        <v>3669.12</v>
      </c>
    </row>
    <row r="34" spans="1:6" s="185" customFormat="1" ht="15" customHeight="1">
      <c r="A34" s="95" t="s">
        <v>188</v>
      </c>
      <c r="B34" s="182">
        <f>SUM(B33)</f>
        <v>1</v>
      </c>
      <c r="C34" s="107"/>
      <c r="D34" s="183">
        <f>SUM(D33)</f>
        <v>180</v>
      </c>
      <c r="E34" s="184"/>
      <c r="F34" s="184">
        <f>SUM(F33)</f>
        <v>3669.12</v>
      </c>
    </row>
    <row r="35" spans="1:6" s="6" customFormat="1" ht="15" customHeight="1">
      <c r="A35" s="93" t="s">
        <v>28</v>
      </c>
      <c r="B35" s="45"/>
      <c r="C35" s="106"/>
      <c r="D35" s="449"/>
      <c r="E35" s="450"/>
      <c r="F35" s="450"/>
    </row>
    <row r="36" spans="1:6" s="224" customFormat="1" ht="15" customHeight="1">
      <c r="A36" s="534"/>
      <c r="B36" s="451">
        <v>1</v>
      </c>
      <c r="C36" s="446" t="s">
        <v>236</v>
      </c>
      <c r="D36" s="452">
        <v>40.5</v>
      </c>
      <c r="E36" s="448">
        <v>20.384</v>
      </c>
      <c r="F36" s="448">
        <f aca="true" t="shared" si="2" ref="F36:F41">D36*E36</f>
        <v>825.552</v>
      </c>
    </row>
    <row r="37" spans="1:6" s="224" customFormat="1" ht="15" customHeight="1">
      <c r="A37" s="534"/>
      <c r="B37" s="451">
        <v>1</v>
      </c>
      <c r="C37" s="446" t="s">
        <v>236</v>
      </c>
      <c r="D37" s="452">
        <v>25</v>
      </c>
      <c r="E37" s="448">
        <v>20.384</v>
      </c>
      <c r="F37" s="448">
        <f t="shared" si="2"/>
        <v>509.6</v>
      </c>
    </row>
    <row r="38" spans="1:6" s="224" customFormat="1" ht="15" customHeight="1">
      <c r="A38" s="534"/>
      <c r="B38" s="451">
        <v>1</v>
      </c>
      <c r="C38" s="446" t="s">
        <v>236</v>
      </c>
      <c r="D38" s="452">
        <v>2</v>
      </c>
      <c r="E38" s="448">
        <v>20.384</v>
      </c>
      <c r="F38" s="448">
        <f t="shared" si="2"/>
        <v>40.768</v>
      </c>
    </row>
    <row r="39" spans="1:6" s="224" customFormat="1" ht="15" customHeight="1">
      <c r="A39" s="534"/>
      <c r="B39" s="451">
        <v>1</v>
      </c>
      <c r="C39" s="446" t="s">
        <v>236</v>
      </c>
      <c r="D39" s="452">
        <v>40</v>
      </c>
      <c r="E39" s="448">
        <v>20.384</v>
      </c>
      <c r="F39" s="448">
        <f t="shared" si="2"/>
        <v>815.36</v>
      </c>
    </row>
    <row r="40" spans="1:6" s="224" customFormat="1" ht="15" customHeight="1">
      <c r="A40" s="534"/>
      <c r="B40" s="451">
        <v>1</v>
      </c>
      <c r="C40" s="446" t="s">
        <v>236</v>
      </c>
      <c r="D40" s="452">
        <v>60</v>
      </c>
      <c r="E40" s="448">
        <v>20.384</v>
      </c>
      <c r="F40" s="448">
        <f t="shared" si="2"/>
        <v>1223.04</v>
      </c>
    </row>
    <row r="41" spans="1:6" s="224" customFormat="1" ht="15" customHeight="1">
      <c r="A41" s="534"/>
      <c r="B41" s="451">
        <v>1</v>
      </c>
      <c r="C41" s="446" t="s">
        <v>236</v>
      </c>
      <c r="D41" s="452">
        <v>60</v>
      </c>
      <c r="E41" s="448">
        <v>20.384</v>
      </c>
      <c r="F41" s="448">
        <f t="shared" si="2"/>
        <v>1223.04</v>
      </c>
    </row>
    <row r="42" spans="1:6" s="185" customFormat="1" ht="15" customHeight="1">
      <c r="A42" s="95" t="s">
        <v>67</v>
      </c>
      <c r="B42" s="182">
        <f>SUM(B36:B41)</f>
        <v>6</v>
      </c>
      <c r="C42" s="107"/>
      <c r="D42" s="183">
        <f>SUM(D36:D41)</f>
        <v>227.5</v>
      </c>
      <c r="E42" s="184"/>
      <c r="F42" s="184">
        <f>SUM(F36:F41)</f>
        <v>4637.360000000001</v>
      </c>
    </row>
    <row r="43" spans="1:6" s="6" customFormat="1" ht="15" customHeight="1">
      <c r="A43" s="93" t="s">
        <v>25</v>
      </c>
      <c r="B43" s="45"/>
      <c r="C43" s="106"/>
      <c r="D43" s="449"/>
      <c r="E43" s="450"/>
      <c r="F43" s="450"/>
    </row>
    <row r="44" spans="1:6" s="53" customFormat="1" ht="15" customHeight="1">
      <c r="A44" s="350" t="s">
        <v>368</v>
      </c>
      <c r="B44" s="317"/>
      <c r="C44" s="351"/>
      <c r="D44" s="352"/>
      <c r="E44" s="353"/>
      <c r="F44" s="353">
        <v>1980</v>
      </c>
    </row>
    <row r="45" spans="1:6" s="224" customFormat="1" ht="15" customHeight="1">
      <c r="A45" s="534"/>
      <c r="B45" s="451">
        <v>1</v>
      </c>
      <c r="C45" s="446" t="s">
        <v>242</v>
      </c>
      <c r="D45" s="452">
        <v>20</v>
      </c>
      <c r="E45" s="448">
        <v>20.384</v>
      </c>
      <c r="F45" s="448">
        <f>D45*E45</f>
        <v>407.68</v>
      </c>
    </row>
    <row r="46" spans="1:6" s="224" customFormat="1" ht="15" customHeight="1">
      <c r="A46" s="534"/>
      <c r="B46" s="451">
        <v>1</v>
      </c>
      <c r="C46" s="446" t="s">
        <v>236</v>
      </c>
      <c r="D46" s="452">
        <v>85.5</v>
      </c>
      <c r="E46" s="448">
        <v>20.384</v>
      </c>
      <c r="F46" s="448">
        <f>D46*E46</f>
        <v>1742.832</v>
      </c>
    </row>
    <row r="47" spans="1:6" s="224" customFormat="1" ht="15" customHeight="1">
      <c r="A47" s="534"/>
      <c r="B47" s="451">
        <v>1</v>
      </c>
      <c r="C47" s="456" t="s">
        <v>242</v>
      </c>
      <c r="D47" s="452">
        <v>100</v>
      </c>
      <c r="E47" s="448">
        <v>20.384</v>
      </c>
      <c r="F47" s="457">
        <f>D47*E47</f>
        <v>2038.4</v>
      </c>
    </row>
    <row r="48" spans="1:7" s="188" customFormat="1" ht="15" customHeight="1">
      <c r="A48" s="129" t="s">
        <v>174</v>
      </c>
      <c r="B48" s="108">
        <f>SUM(B45:B47)</f>
        <v>3</v>
      </c>
      <c r="C48" s="187"/>
      <c r="D48" s="183">
        <f>SUM(D45:D46)</f>
        <v>105.5</v>
      </c>
      <c r="E48" s="184"/>
      <c r="F48" s="184">
        <f>SUM(F44:F47)</f>
        <v>6168.912</v>
      </c>
      <c r="G48" s="194"/>
    </row>
    <row r="49" spans="1:6" s="6" customFormat="1" ht="15" customHeight="1">
      <c r="A49" s="93" t="s">
        <v>29</v>
      </c>
      <c r="B49" s="45"/>
      <c r="C49" s="106"/>
      <c r="D49" s="449"/>
      <c r="E49" s="450"/>
      <c r="F49" s="450"/>
    </row>
    <row r="50" spans="1:6" s="7" customFormat="1" ht="15" customHeight="1">
      <c r="A50" s="534"/>
      <c r="B50" s="239">
        <v>1</v>
      </c>
      <c r="C50" s="446" t="s">
        <v>236</v>
      </c>
      <c r="D50" s="447">
        <v>28</v>
      </c>
      <c r="E50" s="448">
        <v>20.384</v>
      </c>
      <c r="F50" s="448">
        <f>D50*E50</f>
        <v>570.752</v>
      </c>
    </row>
    <row r="51" spans="1:6" s="10" customFormat="1" ht="15" customHeight="1">
      <c r="A51" s="534"/>
      <c r="B51" s="451">
        <v>1</v>
      </c>
      <c r="C51" s="446" t="s">
        <v>242</v>
      </c>
      <c r="D51" s="452">
        <v>103</v>
      </c>
      <c r="E51" s="448">
        <v>20.384</v>
      </c>
      <c r="F51" s="448">
        <f>D51*E51</f>
        <v>2099.552</v>
      </c>
    </row>
    <row r="52" spans="1:6" s="10" customFormat="1" ht="15" customHeight="1">
      <c r="A52" s="534"/>
      <c r="B52" s="451">
        <v>1</v>
      </c>
      <c r="C52" s="446" t="s">
        <v>242</v>
      </c>
      <c r="D52" s="452">
        <v>11</v>
      </c>
      <c r="E52" s="448">
        <v>20.384</v>
      </c>
      <c r="F52" s="448">
        <f>D52*E52</f>
        <v>224.224</v>
      </c>
    </row>
    <row r="53" spans="1:6" s="10" customFormat="1" ht="15" customHeight="1">
      <c r="A53" s="534"/>
      <c r="B53" s="451">
        <v>1</v>
      </c>
      <c r="C53" s="446" t="s">
        <v>236</v>
      </c>
      <c r="D53" s="452">
        <v>105</v>
      </c>
      <c r="E53" s="448">
        <v>20.384</v>
      </c>
      <c r="F53" s="448">
        <f>D53*E53</f>
        <v>2140.32</v>
      </c>
    </row>
    <row r="54" spans="1:6" s="10" customFormat="1" ht="15" customHeight="1">
      <c r="A54" s="534"/>
      <c r="B54" s="451">
        <v>1</v>
      </c>
      <c r="C54" s="446" t="s">
        <v>242</v>
      </c>
      <c r="D54" s="452">
        <v>55</v>
      </c>
      <c r="E54" s="448">
        <v>20.384</v>
      </c>
      <c r="F54" s="448">
        <f>D54*E54</f>
        <v>1121.1200000000001</v>
      </c>
    </row>
    <row r="55" spans="1:6" s="10" customFormat="1" ht="15" customHeight="1">
      <c r="A55" s="458" t="s">
        <v>210</v>
      </c>
      <c r="B55" s="451"/>
      <c r="C55" s="446" t="s">
        <v>242</v>
      </c>
      <c r="D55" s="452"/>
      <c r="E55" s="448"/>
      <c r="F55" s="448">
        <v>14.04</v>
      </c>
    </row>
    <row r="56" spans="1:6" s="185" customFormat="1" ht="15" customHeight="1">
      <c r="A56" s="95" t="s">
        <v>213</v>
      </c>
      <c r="B56" s="182">
        <f>SUM(B51:B54)</f>
        <v>4</v>
      </c>
      <c r="C56" s="107"/>
      <c r="D56" s="183">
        <f>SUM(D51:D54)</f>
        <v>274</v>
      </c>
      <c r="E56" s="184"/>
      <c r="F56" s="184">
        <f>SUM(F50:F55)</f>
        <v>6170.008</v>
      </c>
    </row>
    <row r="57" spans="1:6" s="6" customFormat="1" ht="15" customHeight="1">
      <c r="A57" s="93" t="s">
        <v>30</v>
      </c>
      <c r="B57" s="45"/>
      <c r="C57" s="106"/>
      <c r="D57" s="449"/>
      <c r="E57" s="450"/>
      <c r="F57" s="450"/>
    </row>
    <row r="58" spans="1:6" s="10" customFormat="1" ht="15" customHeight="1">
      <c r="A58" s="534"/>
      <c r="B58" s="451">
        <v>1</v>
      </c>
      <c r="C58" s="446" t="s">
        <v>242</v>
      </c>
      <c r="D58" s="452">
        <v>75</v>
      </c>
      <c r="E58" s="448">
        <v>20.384</v>
      </c>
      <c r="F58" s="448">
        <f aca="true" t="shared" si="3" ref="F58:F63">D58*E58</f>
        <v>1528.8</v>
      </c>
    </row>
    <row r="59" spans="1:8" s="116" customFormat="1" ht="15" customHeight="1">
      <c r="A59" s="534"/>
      <c r="B59" s="239">
        <v>1</v>
      </c>
      <c r="C59" s="446" t="s">
        <v>242</v>
      </c>
      <c r="D59" s="447">
        <v>5.5</v>
      </c>
      <c r="E59" s="459">
        <v>20.384</v>
      </c>
      <c r="F59" s="448">
        <f t="shared" si="3"/>
        <v>112.112</v>
      </c>
      <c r="H59" s="131"/>
    </row>
    <row r="60" spans="1:6" s="10" customFormat="1" ht="15" customHeight="1">
      <c r="A60" s="534"/>
      <c r="B60" s="451">
        <v>1</v>
      </c>
      <c r="C60" s="446" t="s">
        <v>242</v>
      </c>
      <c r="D60" s="452">
        <v>113.5</v>
      </c>
      <c r="E60" s="448">
        <v>20.384</v>
      </c>
      <c r="F60" s="448">
        <f t="shared" si="3"/>
        <v>2313.584</v>
      </c>
    </row>
    <row r="61" spans="1:6" s="10" customFormat="1" ht="15" customHeight="1">
      <c r="A61" s="534"/>
      <c r="B61" s="451">
        <v>1</v>
      </c>
      <c r="C61" s="446" t="s">
        <v>242</v>
      </c>
      <c r="D61" s="452">
        <v>75.25</v>
      </c>
      <c r="E61" s="448">
        <v>20.384</v>
      </c>
      <c r="F61" s="448">
        <f t="shared" si="3"/>
        <v>1533.896</v>
      </c>
    </row>
    <row r="62" spans="1:6" s="10" customFormat="1" ht="15" customHeight="1">
      <c r="A62" s="534"/>
      <c r="B62" s="451">
        <v>1</v>
      </c>
      <c r="C62" s="446" t="s">
        <v>242</v>
      </c>
      <c r="D62" s="452">
        <f>31+24</f>
        <v>55</v>
      </c>
      <c r="E62" s="448">
        <v>20.384</v>
      </c>
      <c r="F62" s="448">
        <f t="shared" si="3"/>
        <v>1121.1200000000001</v>
      </c>
    </row>
    <row r="63" spans="1:6" s="224" customFormat="1" ht="15" customHeight="1">
      <c r="A63" s="534"/>
      <c r="B63" s="451">
        <v>1</v>
      </c>
      <c r="C63" s="460" t="s">
        <v>242</v>
      </c>
      <c r="D63" s="452">
        <v>50</v>
      </c>
      <c r="E63" s="448">
        <v>20.384</v>
      </c>
      <c r="F63" s="448">
        <f t="shared" si="3"/>
        <v>1019.2</v>
      </c>
    </row>
    <row r="64" spans="1:6" s="185" customFormat="1" ht="15" customHeight="1">
      <c r="A64" s="95" t="s">
        <v>175</v>
      </c>
      <c r="B64" s="182">
        <f>SUM(B58:B62)</f>
        <v>5</v>
      </c>
      <c r="C64" s="107"/>
      <c r="D64" s="183">
        <f>SUM(D58:D63)</f>
        <v>374.25</v>
      </c>
      <c r="E64" s="184"/>
      <c r="F64" s="184">
        <f>SUM(F58:F63)</f>
        <v>7628.7119999999995</v>
      </c>
    </row>
    <row r="65" spans="1:6" s="6" customFormat="1" ht="15" customHeight="1">
      <c r="A65" s="93" t="s">
        <v>32</v>
      </c>
      <c r="B65" s="45"/>
      <c r="C65" s="106"/>
      <c r="D65" s="449"/>
      <c r="E65" s="450"/>
      <c r="F65" s="450"/>
    </row>
    <row r="66" spans="1:6" s="224" customFormat="1" ht="15" customHeight="1">
      <c r="A66" s="534"/>
      <c r="B66" s="451">
        <v>1</v>
      </c>
      <c r="C66" s="446" t="s">
        <v>46</v>
      </c>
      <c r="D66" s="452">
        <v>180</v>
      </c>
      <c r="E66" s="448">
        <v>21</v>
      </c>
      <c r="F66" s="448">
        <f aca="true" t="shared" si="4" ref="F66:F72">D66*E66</f>
        <v>3780</v>
      </c>
    </row>
    <row r="67" spans="1:6" s="224" customFormat="1" ht="15" customHeight="1">
      <c r="A67" s="534"/>
      <c r="B67" s="451">
        <v>1</v>
      </c>
      <c r="C67" s="446" t="s">
        <v>236</v>
      </c>
      <c r="D67" s="452">
        <v>104</v>
      </c>
      <c r="E67" s="448">
        <v>19.812</v>
      </c>
      <c r="F67" s="448">
        <f t="shared" si="4"/>
        <v>2060.4480000000003</v>
      </c>
    </row>
    <row r="68" spans="1:8" s="224" customFormat="1" ht="15" customHeight="1">
      <c r="A68" s="534"/>
      <c r="B68" s="451">
        <v>1</v>
      </c>
      <c r="C68" s="446" t="s">
        <v>242</v>
      </c>
      <c r="D68" s="452">
        <v>139</v>
      </c>
      <c r="E68" s="448">
        <v>19.812</v>
      </c>
      <c r="F68" s="448">
        <f t="shared" si="4"/>
        <v>2753.868</v>
      </c>
      <c r="H68" s="233"/>
    </row>
    <row r="69" spans="1:6" s="224" customFormat="1" ht="15" customHeight="1">
      <c r="A69" s="534"/>
      <c r="B69" s="451">
        <v>1</v>
      </c>
      <c r="C69" s="446" t="s">
        <v>243</v>
      </c>
      <c r="D69" s="452">
        <f>93+203.5</f>
        <v>296.5</v>
      </c>
      <c r="E69" s="448">
        <v>19.812</v>
      </c>
      <c r="F69" s="448">
        <f>D69*E69+14.46</f>
        <v>5888.718000000001</v>
      </c>
    </row>
    <row r="70" spans="1:8" s="224" customFormat="1" ht="15" customHeight="1">
      <c r="A70" s="534"/>
      <c r="B70" s="451">
        <v>1</v>
      </c>
      <c r="C70" s="446" t="s">
        <v>236</v>
      </c>
      <c r="D70" s="452">
        <v>88</v>
      </c>
      <c r="E70" s="448">
        <v>19.812</v>
      </c>
      <c r="F70" s="448">
        <f t="shared" si="4"/>
        <v>1743.4560000000001</v>
      </c>
      <c r="H70" s="233"/>
    </row>
    <row r="71" spans="1:6" s="224" customFormat="1" ht="15" customHeight="1">
      <c r="A71" s="534"/>
      <c r="B71" s="451">
        <v>1</v>
      </c>
      <c r="C71" s="446" t="s">
        <v>236</v>
      </c>
      <c r="D71" s="452">
        <v>83</v>
      </c>
      <c r="E71" s="448">
        <v>19.812</v>
      </c>
      <c r="F71" s="448">
        <f t="shared" si="4"/>
        <v>1644.3960000000002</v>
      </c>
    </row>
    <row r="72" spans="1:6" s="224" customFormat="1" ht="15" customHeight="1">
      <c r="A72" s="534"/>
      <c r="B72" s="451">
        <v>1</v>
      </c>
      <c r="C72" s="446" t="s">
        <v>242</v>
      </c>
      <c r="D72" s="452">
        <f>78+97</f>
        <v>175</v>
      </c>
      <c r="E72" s="448">
        <v>19.812</v>
      </c>
      <c r="F72" s="448">
        <f t="shared" si="4"/>
        <v>3467.1000000000004</v>
      </c>
    </row>
    <row r="73" spans="1:6" s="240" customFormat="1" ht="15" customHeight="1">
      <c r="A73" s="461" t="s">
        <v>294</v>
      </c>
      <c r="B73" s="462"/>
      <c r="C73" s="463" t="s">
        <v>240</v>
      </c>
      <c r="D73" s="464"/>
      <c r="E73" s="465"/>
      <c r="F73" s="465">
        <v>234</v>
      </c>
    </row>
    <row r="74" spans="1:6" s="185" customFormat="1" ht="15" customHeight="1">
      <c r="A74" s="105" t="s">
        <v>83</v>
      </c>
      <c r="B74" s="182">
        <f>SUM(B68:B72)</f>
        <v>5</v>
      </c>
      <c r="C74" s="189"/>
      <c r="D74" s="183">
        <f>SUM(D68:D72)</f>
        <v>781.5</v>
      </c>
      <c r="E74" s="189"/>
      <c r="F74" s="184">
        <f>SUM(F66:F73)</f>
        <v>21571.986000000004</v>
      </c>
    </row>
    <row r="75" spans="1:6" s="190" customFormat="1" ht="15" customHeight="1">
      <c r="A75" s="96" t="s">
        <v>181</v>
      </c>
      <c r="B75" s="130">
        <f>SUM(B7,B28,B34,B42,B48,B56,B64,B74)</f>
        <v>43</v>
      </c>
      <c r="C75" s="108"/>
      <c r="D75" s="108"/>
      <c r="E75" s="108"/>
      <c r="F75" s="181">
        <f>F74+F64+F56+F48+F42+F34+F31+F7</f>
        <v>96121.244</v>
      </c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9"/>
  <sheetViews>
    <sheetView workbookViewId="0" topLeftCell="A1">
      <selection activeCell="A6" sqref="A6:A7"/>
    </sheetView>
  </sheetViews>
  <sheetFormatPr defaultColWidth="9.140625" defaultRowHeight="12.75"/>
  <cols>
    <col min="1" max="1" width="37.421875" style="56" customWidth="1"/>
    <col min="2" max="2" width="11.421875" style="56" customWidth="1"/>
    <col min="3" max="3" width="37.00390625" style="54" customWidth="1"/>
    <col min="4" max="4" width="21.140625" style="34" customWidth="1"/>
    <col min="5" max="16384" width="11.57421875" style="54" customWidth="1"/>
  </cols>
  <sheetData>
    <row r="1" spans="1:5" s="48" customFormat="1" ht="30" customHeight="1">
      <c r="A1" s="545" t="s">
        <v>1</v>
      </c>
      <c r="B1" s="545"/>
      <c r="C1" s="545"/>
      <c r="D1" s="545"/>
      <c r="E1" s="254">
        <v>40070182</v>
      </c>
    </row>
    <row r="2" spans="1:4" s="49" customFormat="1" ht="39" customHeight="1">
      <c r="A2" s="551" t="s">
        <v>79</v>
      </c>
      <c r="B2" s="551"/>
      <c r="C2" s="569"/>
      <c r="D2" s="570"/>
    </row>
    <row r="3" spans="1:4" s="50" customFormat="1" ht="15" customHeight="1">
      <c r="A3" s="42" t="s">
        <v>12</v>
      </c>
      <c r="B3" s="42" t="s">
        <v>160</v>
      </c>
      <c r="C3" s="42" t="s">
        <v>184</v>
      </c>
      <c r="D3" s="79" t="s">
        <v>14</v>
      </c>
    </row>
    <row r="4" spans="1:4" s="50" customFormat="1" ht="15" customHeight="1">
      <c r="A4" s="46"/>
      <c r="B4" s="42"/>
      <c r="C4" s="42"/>
      <c r="D4" s="79" t="s">
        <v>234</v>
      </c>
    </row>
    <row r="5" spans="1:4" s="51" customFormat="1" ht="15" customHeight="1">
      <c r="A5" s="37" t="s">
        <v>28</v>
      </c>
      <c r="B5" s="40"/>
      <c r="C5" s="38"/>
      <c r="D5" s="60"/>
    </row>
    <row r="6" spans="1:4" s="53" customFormat="1" ht="15" customHeight="1">
      <c r="A6" s="533"/>
      <c r="B6" s="32">
        <v>1</v>
      </c>
      <c r="C6" s="32"/>
      <c r="D6" s="146">
        <f>733.822+130</f>
        <v>863.822</v>
      </c>
    </row>
    <row r="7" spans="1:4" s="53" customFormat="1" ht="15" customHeight="1">
      <c r="A7" s="533"/>
      <c r="B7" s="32"/>
      <c r="C7" s="32"/>
      <c r="D7" s="146">
        <v>1223.04</v>
      </c>
    </row>
    <row r="8" spans="1:4" s="53" customFormat="1" ht="15" customHeight="1">
      <c r="A8" s="86" t="s">
        <v>67</v>
      </c>
      <c r="B8" s="111">
        <v>1</v>
      </c>
      <c r="C8" s="119"/>
      <c r="D8" s="429">
        <f>SUM(D6:D7)</f>
        <v>2086.862</v>
      </c>
    </row>
    <row r="9" spans="1:4" ht="15.75">
      <c r="A9" s="472" t="s">
        <v>181</v>
      </c>
      <c r="B9" s="111">
        <v>1</v>
      </c>
      <c r="C9" s="119"/>
      <c r="D9" s="148">
        <v>2086.862</v>
      </c>
    </row>
  </sheetData>
  <mergeCells count="2">
    <mergeCell ref="A2:D2"/>
    <mergeCell ref="A1:D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E11"/>
  <sheetViews>
    <sheetView workbookViewId="0" topLeftCell="A1">
      <selection activeCell="C22" sqref="C22"/>
    </sheetView>
  </sheetViews>
  <sheetFormatPr defaultColWidth="9.140625" defaultRowHeight="12.75"/>
  <cols>
    <col min="1" max="1" width="51.57421875" style="493" customWidth="1"/>
    <col min="2" max="2" width="15.140625" style="494" customWidth="1"/>
    <col min="3" max="3" width="32.28125" style="491" customWidth="1"/>
    <col min="4" max="4" width="19.8515625" style="491" customWidth="1"/>
    <col min="5" max="16384" width="11.57421875" style="491" customWidth="1"/>
  </cols>
  <sheetData>
    <row r="1" spans="1:5" s="486" customFormat="1" ht="30" customHeight="1">
      <c r="A1" s="580" t="s">
        <v>2</v>
      </c>
      <c r="B1" s="580"/>
      <c r="C1" s="580"/>
      <c r="D1" s="580"/>
      <c r="E1" s="485">
        <v>40070185</v>
      </c>
    </row>
    <row r="2" spans="1:4" s="487" customFormat="1" ht="69" customHeight="1">
      <c r="A2" s="577" t="s">
        <v>0</v>
      </c>
      <c r="B2" s="578"/>
      <c r="C2" s="578"/>
      <c r="D2" s="579"/>
    </row>
    <row r="3" spans="1:4" s="488" customFormat="1" ht="15" customHeight="1">
      <c r="A3" s="474" t="s">
        <v>12</v>
      </c>
      <c r="B3" s="475" t="s">
        <v>202</v>
      </c>
      <c r="C3" s="475" t="s">
        <v>194</v>
      </c>
      <c r="D3" s="476" t="s">
        <v>20</v>
      </c>
    </row>
    <row r="4" spans="1:4" s="489" customFormat="1" ht="15" customHeight="1">
      <c r="A4" s="332" t="s">
        <v>32</v>
      </c>
      <c r="B4" s="477"/>
      <c r="C4" s="333"/>
      <c r="D4" s="478"/>
    </row>
    <row r="5" spans="1:4" s="490" customFormat="1" ht="15" customHeight="1">
      <c r="A5" s="535"/>
      <c r="B5" s="328">
        <v>1</v>
      </c>
      <c r="C5" s="328" t="s">
        <v>87</v>
      </c>
      <c r="D5" s="479">
        <v>1000</v>
      </c>
    </row>
    <row r="6" spans="1:4" s="490" customFormat="1" ht="15" customHeight="1">
      <c r="A6" s="535"/>
      <c r="B6" s="328">
        <v>2</v>
      </c>
      <c r="C6" s="328" t="s">
        <v>86</v>
      </c>
      <c r="D6" s="479">
        <f>4181.42</f>
        <v>4181.42</v>
      </c>
    </row>
    <row r="7" spans="1:4" s="490" customFormat="1" ht="15" customHeight="1">
      <c r="A7" s="535"/>
      <c r="B7" s="338">
        <v>1</v>
      </c>
      <c r="C7" s="338" t="s">
        <v>65</v>
      </c>
      <c r="D7" s="479">
        <v>2000</v>
      </c>
    </row>
    <row r="8" spans="1:4" s="490" customFormat="1" ht="15" customHeight="1">
      <c r="A8" s="535"/>
      <c r="B8" s="338">
        <v>1</v>
      </c>
      <c r="C8" s="338" t="s">
        <v>66</v>
      </c>
      <c r="D8" s="479">
        <v>2000</v>
      </c>
    </row>
    <row r="9" spans="1:4" ht="15" customHeight="1">
      <c r="A9" s="535"/>
      <c r="B9" s="338">
        <v>1</v>
      </c>
      <c r="C9" s="338" t="s">
        <v>88</v>
      </c>
      <c r="D9" s="479">
        <v>1000</v>
      </c>
    </row>
    <row r="10" spans="1:4" s="492" customFormat="1" ht="15" customHeight="1">
      <c r="A10" s="482" t="s">
        <v>83</v>
      </c>
      <c r="B10" s="483">
        <f>SUM(B5:B9)</f>
        <v>6</v>
      </c>
      <c r="C10" s="484"/>
      <c r="D10" s="429">
        <f>SUM(D4:D9)</f>
        <v>10181.42</v>
      </c>
    </row>
    <row r="11" spans="1:4" ht="15.75">
      <c r="A11" s="430" t="s">
        <v>181</v>
      </c>
      <c r="B11" s="480">
        <v>6</v>
      </c>
      <c r="C11" s="481"/>
      <c r="D11" s="431">
        <v>10181.42</v>
      </c>
    </row>
  </sheetData>
  <mergeCells count="2">
    <mergeCell ref="A2:D2"/>
    <mergeCell ref="A1:D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13"/>
  <sheetViews>
    <sheetView workbookViewId="0" topLeftCell="A1">
      <selection activeCell="A5" sqref="A5"/>
    </sheetView>
  </sheetViews>
  <sheetFormatPr defaultColWidth="9.140625" defaultRowHeight="22.5" customHeight="1"/>
  <cols>
    <col min="1" max="1" width="56.28125" style="56" customWidth="1"/>
    <col min="2" max="2" width="12.57421875" style="56" customWidth="1"/>
    <col min="3" max="3" width="19.7109375" style="56" customWidth="1"/>
    <col min="4" max="4" width="46.00390625" style="54" customWidth="1"/>
    <col min="5" max="5" width="34.421875" style="34" customWidth="1"/>
    <col min="6" max="16384" width="11.57421875" style="54" customWidth="1"/>
  </cols>
  <sheetData>
    <row r="1" spans="1:7" s="48" customFormat="1" ht="30" customHeight="1">
      <c r="A1" s="545" t="s">
        <v>3</v>
      </c>
      <c r="B1" s="545"/>
      <c r="C1" s="545"/>
      <c r="D1" s="545"/>
      <c r="E1" s="545"/>
      <c r="F1" s="581">
        <v>40070178</v>
      </c>
      <c r="G1" s="581"/>
    </row>
    <row r="2" spans="1:5" s="49" customFormat="1" ht="39" customHeight="1">
      <c r="A2" s="551" t="s">
        <v>77</v>
      </c>
      <c r="B2" s="551"/>
      <c r="C2" s="551"/>
      <c r="D2" s="569"/>
      <c r="E2" s="570"/>
    </row>
    <row r="3" spans="1:5" s="50" customFormat="1" ht="15" customHeight="1">
      <c r="A3" s="42" t="s">
        <v>12</v>
      </c>
      <c r="B3" s="29" t="s">
        <v>160</v>
      </c>
      <c r="C3" s="29" t="s">
        <v>198</v>
      </c>
      <c r="D3" s="42" t="s">
        <v>184</v>
      </c>
      <c r="E3" s="79" t="s">
        <v>17</v>
      </c>
    </row>
    <row r="4" spans="1:5" s="51" customFormat="1" ht="15" customHeight="1">
      <c r="A4" s="37" t="s">
        <v>24</v>
      </c>
      <c r="B4" s="29"/>
      <c r="C4" s="29"/>
      <c r="D4" s="40"/>
      <c r="E4" s="394"/>
    </row>
    <row r="5" spans="1:5" s="53" customFormat="1" ht="15" customHeight="1">
      <c r="A5" s="536"/>
      <c r="B5" s="301"/>
      <c r="C5" s="301" t="s">
        <v>75</v>
      </c>
      <c r="D5" s="300" t="s">
        <v>89</v>
      </c>
      <c r="E5" s="353">
        <v>1195.64</v>
      </c>
    </row>
    <row r="6" spans="1:5" s="161" customFormat="1" ht="15" customHeight="1">
      <c r="A6" s="41" t="s">
        <v>204</v>
      </c>
      <c r="B6" s="112"/>
      <c r="C6" s="113"/>
      <c r="D6" s="113"/>
      <c r="E6" s="147">
        <f>SUM(E5)</f>
        <v>1195.64</v>
      </c>
    </row>
    <row r="7" spans="1:5" s="51" customFormat="1" ht="15" customHeight="1">
      <c r="A7" s="37" t="s">
        <v>30</v>
      </c>
      <c r="B7" s="29"/>
      <c r="C7" s="29"/>
      <c r="D7" s="40"/>
      <c r="E7" s="206"/>
    </row>
    <row r="8" spans="1:5" s="52" customFormat="1" ht="15" customHeight="1">
      <c r="A8" s="428" t="s">
        <v>74</v>
      </c>
      <c r="B8" s="300"/>
      <c r="C8" s="300" t="s">
        <v>73</v>
      </c>
      <c r="D8" s="318" t="s">
        <v>90</v>
      </c>
      <c r="E8" s="353">
        <v>12122.82</v>
      </c>
    </row>
    <row r="9" spans="1:5" s="161" customFormat="1" ht="15" customHeight="1">
      <c r="A9" s="41" t="s">
        <v>175</v>
      </c>
      <c r="B9" s="121"/>
      <c r="C9" s="113"/>
      <c r="D9" s="113"/>
      <c r="E9" s="147">
        <f>SUM(E8)</f>
        <v>12122.82</v>
      </c>
    </row>
    <row r="10" spans="1:5" s="51" customFormat="1" ht="15" customHeight="1">
      <c r="A10" s="37" t="s">
        <v>32</v>
      </c>
      <c r="B10" s="29"/>
      <c r="C10" s="29"/>
      <c r="D10" s="40"/>
      <c r="E10" s="206"/>
    </row>
    <row r="11" spans="1:5" ht="24" customHeight="1">
      <c r="A11" s="428" t="s">
        <v>74</v>
      </c>
      <c r="B11" s="300"/>
      <c r="C11" s="300" t="s">
        <v>73</v>
      </c>
      <c r="D11" s="300" t="s">
        <v>242</v>
      </c>
      <c r="E11" s="353">
        <v>15580.74</v>
      </c>
    </row>
    <row r="12" spans="1:5" s="161" customFormat="1" ht="15" customHeight="1">
      <c r="A12" s="41" t="s">
        <v>83</v>
      </c>
      <c r="B12" s="112"/>
      <c r="C12" s="113"/>
      <c r="D12" s="113"/>
      <c r="E12" s="147">
        <f>SUM(E11)</f>
        <v>15580.74</v>
      </c>
    </row>
    <row r="13" spans="1:5" s="162" customFormat="1" ht="15" customHeight="1">
      <c r="A13" s="39" t="s">
        <v>181</v>
      </c>
      <c r="B13" s="102"/>
      <c r="C13" s="111"/>
      <c r="D13" s="111"/>
      <c r="E13" s="148">
        <f>E6+E9+E12</f>
        <v>28899.199999999997</v>
      </c>
    </row>
  </sheetData>
  <mergeCells count="3">
    <mergeCell ref="A2:E2"/>
    <mergeCell ref="A1:E1"/>
    <mergeCell ref="F1:G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L305"/>
  <sheetViews>
    <sheetView workbookViewId="0" topLeftCell="A202">
      <selection activeCell="A7" sqref="A7"/>
    </sheetView>
  </sheetViews>
  <sheetFormatPr defaultColWidth="9.140625" defaultRowHeight="12.75"/>
  <cols>
    <col min="1" max="1" width="42.57421875" style="1" customWidth="1"/>
    <col min="2" max="2" width="10.00390625" style="1" customWidth="1"/>
    <col min="3" max="3" width="29.28125" style="9" customWidth="1"/>
    <col min="4" max="4" width="16.28125" style="2" customWidth="1"/>
    <col min="5" max="5" width="11.57421875" style="22" customWidth="1"/>
    <col min="6" max="6" width="16.00390625" style="196" customWidth="1"/>
    <col min="7" max="7" width="14.00390625" style="196" customWidth="1"/>
    <col min="8" max="8" width="11.57421875" style="196" customWidth="1"/>
    <col min="9" max="9" width="20.28125" style="198" customWidth="1"/>
    <col min="10" max="10" width="17.8515625" style="9" customWidth="1"/>
    <col min="11" max="11" width="17.28125" style="9" customWidth="1"/>
    <col min="12" max="16384" width="11.57421875" style="9" customWidth="1"/>
  </cols>
  <sheetData>
    <row r="1" spans="1:10" s="3" customFormat="1" ht="30" customHeight="1">
      <c r="A1" s="582" t="s">
        <v>4</v>
      </c>
      <c r="B1" s="582"/>
      <c r="C1" s="582"/>
      <c r="D1" s="582"/>
      <c r="E1" s="582"/>
      <c r="F1" s="582"/>
      <c r="G1" s="582"/>
      <c r="H1" s="582"/>
      <c r="I1" s="582"/>
      <c r="J1" s="280">
        <v>40070171</v>
      </c>
    </row>
    <row r="2" spans="1:9" s="4" customFormat="1" ht="39" customHeight="1">
      <c r="A2" s="551" t="s">
        <v>245</v>
      </c>
      <c r="B2" s="551"/>
      <c r="C2" s="575"/>
      <c r="D2" s="575"/>
      <c r="E2" s="575"/>
      <c r="F2" s="575"/>
      <c r="G2" s="575"/>
      <c r="H2" s="575"/>
      <c r="I2" s="575"/>
    </row>
    <row r="3" spans="1:9" s="5" customFormat="1" ht="15" customHeight="1">
      <c r="A3" s="44" t="s">
        <v>12</v>
      </c>
      <c r="B3" s="45" t="s">
        <v>160</v>
      </c>
      <c r="C3" s="44" t="s">
        <v>184</v>
      </c>
      <c r="D3" s="45" t="s">
        <v>23</v>
      </c>
      <c r="E3" s="495" t="s">
        <v>14</v>
      </c>
      <c r="F3" s="78" t="s">
        <v>14</v>
      </c>
      <c r="G3" s="78" t="s">
        <v>15</v>
      </c>
      <c r="H3" s="78" t="s">
        <v>16</v>
      </c>
      <c r="I3" s="44" t="s">
        <v>20</v>
      </c>
    </row>
    <row r="4" spans="1:9" s="5" customFormat="1" ht="15" customHeight="1">
      <c r="A4" s="44"/>
      <c r="B4" s="45"/>
      <c r="C4" s="44"/>
      <c r="D4" s="45" t="s">
        <v>232</v>
      </c>
      <c r="E4" s="495" t="s">
        <v>233</v>
      </c>
      <c r="F4" s="78" t="s">
        <v>234</v>
      </c>
      <c r="G4" s="78" t="s">
        <v>235</v>
      </c>
      <c r="H4" s="496"/>
      <c r="I4" s="197"/>
    </row>
    <row r="5" spans="1:9" s="2" customFormat="1" ht="15" customHeight="1">
      <c r="A5" s="470" t="s">
        <v>26</v>
      </c>
      <c r="B5" s="45"/>
      <c r="C5" s="471"/>
      <c r="D5" s="45"/>
      <c r="E5" s="497"/>
      <c r="F5" s="450"/>
      <c r="G5" s="450"/>
      <c r="H5" s="450"/>
      <c r="I5" s="197"/>
    </row>
    <row r="6" spans="1:9" s="53" customFormat="1" ht="15" customHeight="1">
      <c r="A6" s="415" t="s">
        <v>370</v>
      </c>
      <c r="B6" s="416"/>
      <c r="C6" s="417"/>
      <c r="D6" s="418"/>
      <c r="E6" s="419"/>
      <c r="F6" s="419">
        <v>26675.39</v>
      </c>
      <c r="G6" s="420"/>
      <c r="H6" s="419"/>
      <c r="I6" s="419">
        <f>F6</f>
        <v>26675.39</v>
      </c>
    </row>
    <row r="7" spans="1:9" s="224" customFormat="1" ht="15" customHeight="1">
      <c r="A7" s="537"/>
      <c r="B7" s="451">
        <v>1</v>
      </c>
      <c r="C7" s="446" t="s">
        <v>242</v>
      </c>
      <c r="D7" s="452">
        <v>87</v>
      </c>
      <c r="E7" s="459">
        <v>20.384</v>
      </c>
      <c r="F7" s="448">
        <f aca="true" t="shared" si="0" ref="F7:F16">D7*E7</f>
        <v>1773.4080000000001</v>
      </c>
      <c r="G7" s="448">
        <v>0</v>
      </c>
      <c r="H7" s="498">
        <v>0</v>
      </c>
      <c r="I7" s="448">
        <f>F7+H7</f>
        <v>1773.4080000000001</v>
      </c>
    </row>
    <row r="8" spans="1:11" s="224" customFormat="1" ht="15" customHeight="1">
      <c r="A8" s="537"/>
      <c r="B8" s="451">
        <v>1</v>
      </c>
      <c r="C8" s="446" t="s">
        <v>242</v>
      </c>
      <c r="D8" s="452">
        <f>205-45</f>
        <v>160</v>
      </c>
      <c r="E8" s="459">
        <v>20.384</v>
      </c>
      <c r="F8" s="448">
        <f t="shared" si="0"/>
        <v>3261.44</v>
      </c>
      <c r="G8" s="448">
        <v>0</v>
      </c>
      <c r="H8" s="498">
        <v>0</v>
      </c>
      <c r="I8" s="448">
        <f>F8+G8+H8</f>
        <v>3261.44</v>
      </c>
      <c r="K8" s="233"/>
    </row>
    <row r="9" spans="1:11" s="224" customFormat="1" ht="15" customHeight="1">
      <c r="A9" s="537"/>
      <c r="B9" s="451">
        <v>1</v>
      </c>
      <c r="C9" s="446" t="s">
        <v>242</v>
      </c>
      <c r="D9" s="452">
        <f>223-22-30</f>
        <v>171</v>
      </c>
      <c r="E9" s="459">
        <v>20.384</v>
      </c>
      <c r="F9" s="448">
        <f t="shared" si="0"/>
        <v>3485.664</v>
      </c>
      <c r="G9" s="448">
        <v>0</v>
      </c>
      <c r="H9" s="498">
        <v>0</v>
      </c>
      <c r="I9" s="448">
        <f>F9+G9+H9</f>
        <v>3485.664</v>
      </c>
      <c r="K9" s="233"/>
    </row>
    <row r="10" spans="1:9" s="224" customFormat="1" ht="15" customHeight="1">
      <c r="A10" s="537"/>
      <c r="B10" s="451">
        <v>1</v>
      </c>
      <c r="C10" s="446" t="s">
        <v>242</v>
      </c>
      <c r="D10" s="452">
        <v>182</v>
      </c>
      <c r="E10" s="459">
        <v>20.384</v>
      </c>
      <c r="F10" s="448">
        <f t="shared" si="0"/>
        <v>3709.888</v>
      </c>
      <c r="G10" s="448">
        <v>0</v>
      </c>
      <c r="H10" s="498">
        <v>0</v>
      </c>
      <c r="I10" s="448">
        <f>F10+G10+H10</f>
        <v>3709.888</v>
      </c>
    </row>
    <row r="11" spans="1:9" s="224" customFormat="1" ht="15" customHeight="1">
      <c r="A11" s="537"/>
      <c r="B11" s="451">
        <v>1</v>
      </c>
      <c r="C11" s="446" t="s">
        <v>236</v>
      </c>
      <c r="D11" s="452">
        <v>400</v>
      </c>
      <c r="E11" s="459">
        <v>20.384</v>
      </c>
      <c r="F11" s="448">
        <f t="shared" si="0"/>
        <v>8153.6</v>
      </c>
      <c r="G11" s="448">
        <v>0</v>
      </c>
      <c r="H11" s="498">
        <v>0</v>
      </c>
      <c r="I11" s="448">
        <f>F11+G11+H11</f>
        <v>8153.6</v>
      </c>
    </row>
    <row r="12" spans="1:11" s="224" customFormat="1" ht="15" customHeight="1">
      <c r="A12" s="537"/>
      <c r="B12" s="451">
        <v>1</v>
      </c>
      <c r="C12" s="446" t="s">
        <v>242</v>
      </c>
      <c r="D12" s="452">
        <v>322</v>
      </c>
      <c r="E12" s="459">
        <v>20.384</v>
      </c>
      <c r="F12" s="448">
        <f t="shared" si="0"/>
        <v>6563.648</v>
      </c>
      <c r="G12" s="448">
        <v>0</v>
      </c>
      <c r="H12" s="498">
        <v>0</v>
      </c>
      <c r="I12" s="448">
        <f>F12+G12+H12</f>
        <v>6563.648</v>
      </c>
      <c r="K12" s="233"/>
    </row>
    <row r="13" spans="1:11" s="224" customFormat="1" ht="15" customHeight="1">
      <c r="A13" s="537"/>
      <c r="B13" s="451">
        <v>1</v>
      </c>
      <c r="C13" s="446" t="s">
        <v>236</v>
      </c>
      <c r="D13" s="452">
        <v>209</v>
      </c>
      <c r="E13" s="459">
        <v>20.384</v>
      </c>
      <c r="F13" s="448">
        <f t="shared" si="0"/>
        <v>4260.256</v>
      </c>
      <c r="G13" s="448">
        <v>0</v>
      </c>
      <c r="H13" s="498">
        <v>0</v>
      </c>
      <c r="I13" s="448">
        <f>F13+G14+H13</f>
        <v>4260.256</v>
      </c>
      <c r="K13" s="233"/>
    </row>
    <row r="14" spans="1:9" s="224" customFormat="1" ht="14.25" customHeight="1">
      <c r="A14" s="537"/>
      <c r="B14" s="451">
        <v>1</v>
      </c>
      <c r="C14" s="446" t="s">
        <v>236</v>
      </c>
      <c r="D14" s="452">
        <v>164</v>
      </c>
      <c r="E14" s="459">
        <v>20.384</v>
      </c>
      <c r="F14" s="448">
        <f t="shared" si="0"/>
        <v>3342.976</v>
      </c>
      <c r="G14" s="448">
        <v>0</v>
      </c>
      <c r="H14" s="498">
        <v>0</v>
      </c>
      <c r="I14" s="448">
        <f>F14+G15+H14</f>
        <v>3342.976</v>
      </c>
    </row>
    <row r="15" spans="1:11" s="224" customFormat="1" ht="15" customHeight="1">
      <c r="A15" s="537"/>
      <c r="B15" s="451">
        <v>1</v>
      </c>
      <c r="C15" s="446" t="s">
        <v>236</v>
      </c>
      <c r="D15" s="452">
        <v>166</v>
      </c>
      <c r="E15" s="459">
        <v>20.384</v>
      </c>
      <c r="F15" s="448">
        <f t="shared" si="0"/>
        <v>3383.744</v>
      </c>
      <c r="G15" s="448">
        <v>0</v>
      </c>
      <c r="H15" s="498">
        <v>0</v>
      </c>
      <c r="I15" s="448">
        <f aca="true" t="shared" si="1" ref="I15:I22">F15+G15+H15</f>
        <v>3383.744</v>
      </c>
      <c r="K15" s="233"/>
    </row>
    <row r="16" spans="1:9" s="224" customFormat="1" ht="15" customHeight="1">
      <c r="A16" s="537"/>
      <c r="B16" s="451">
        <v>1</v>
      </c>
      <c r="C16" s="446" t="s">
        <v>236</v>
      </c>
      <c r="D16" s="452">
        <v>334</v>
      </c>
      <c r="E16" s="459">
        <v>20.384</v>
      </c>
      <c r="F16" s="448">
        <f t="shared" si="0"/>
        <v>6808.256</v>
      </c>
      <c r="G16" s="448">
        <v>0</v>
      </c>
      <c r="H16" s="498">
        <v>0</v>
      </c>
      <c r="I16" s="448">
        <f t="shared" si="1"/>
        <v>6808.256</v>
      </c>
    </row>
    <row r="17" spans="1:9" s="224" customFormat="1" ht="15" customHeight="1">
      <c r="A17" s="537"/>
      <c r="B17" s="451">
        <v>1</v>
      </c>
      <c r="C17" s="446" t="s">
        <v>242</v>
      </c>
      <c r="D17" s="452">
        <v>227.5</v>
      </c>
      <c r="E17" s="459">
        <v>20.384</v>
      </c>
      <c r="F17" s="448">
        <f>D17*E18</f>
        <v>4637.36</v>
      </c>
      <c r="G17" s="448">
        <v>0</v>
      </c>
      <c r="H17" s="498">
        <v>0</v>
      </c>
      <c r="I17" s="448">
        <f t="shared" si="1"/>
        <v>4637.36</v>
      </c>
    </row>
    <row r="18" spans="1:9" s="224" customFormat="1" ht="15" customHeight="1">
      <c r="A18" s="537"/>
      <c r="B18" s="451">
        <v>1</v>
      </c>
      <c r="C18" s="446" t="s">
        <v>236</v>
      </c>
      <c r="D18" s="452">
        <v>101</v>
      </c>
      <c r="E18" s="459">
        <v>20.384</v>
      </c>
      <c r="F18" s="448">
        <f>D18*E18</f>
        <v>2058.784</v>
      </c>
      <c r="G18" s="448">
        <v>0</v>
      </c>
      <c r="H18" s="498">
        <v>0</v>
      </c>
      <c r="I18" s="448">
        <f t="shared" si="1"/>
        <v>2058.784</v>
      </c>
    </row>
    <row r="19" spans="1:9" s="224" customFormat="1" ht="15" customHeight="1">
      <c r="A19" s="537"/>
      <c r="B19" s="451">
        <v>1</v>
      </c>
      <c r="C19" s="446" t="s">
        <v>236</v>
      </c>
      <c r="D19" s="452">
        <v>394</v>
      </c>
      <c r="E19" s="459">
        <v>20.384</v>
      </c>
      <c r="F19" s="448">
        <f>D19*E19</f>
        <v>8031.296</v>
      </c>
      <c r="G19" s="448">
        <v>0</v>
      </c>
      <c r="H19" s="498">
        <v>0</v>
      </c>
      <c r="I19" s="448">
        <f t="shared" si="1"/>
        <v>8031.296</v>
      </c>
    </row>
    <row r="20" spans="1:9" s="224" customFormat="1" ht="15" customHeight="1">
      <c r="A20" s="537"/>
      <c r="B20" s="451">
        <v>1</v>
      </c>
      <c r="C20" s="446" t="s">
        <v>236</v>
      </c>
      <c r="D20" s="452">
        <v>208.5</v>
      </c>
      <c r="E20" s="459">
        <v>20.384</v>
      </c>
      <c r="F20" s="448">
        <f>D20*E20</f>
        <v>4250.064</v>
      </c>
      <c r="G20" s="448">
        <v>0</v>
      </c>
      <c r="H20" s="498">
        <v>0</v>
      </c>
      <c r="I20" s="448">
        <f t="shared" si="1"/>
        <v>4250.064</v>
      </c>
    </row>
    <row r="21" spans="1:9" s="224" customFormat="1" ht="15" customHeight="1">
      <c r="A21" s="537"/>
      <c r="B21" s="451">
        <v>1</v>
      </c>
      <c r="C21" s="446" t="s">
        <v>236</v>
      </c>
      <c r="D21" s="452">
        <v>483</v>
      </c>
      <c r="E21" s="459">
        <v>20.384</v>
      </c>
      <c r="F21" s="448">
        <f>D21*E21</f>
        <v>9845.472</v>
      </c>
      <c r="G21" s="448">
        <v>0</v>
      </c>
      <c r="H21" s="498">
        <v>0</v>
      </c>
      <c r="I21" s="448">
        <f t="shared" si="1"/>
        <v>9845.472</v>
      </c>
    </row>
    <row r="22" spans="1:9" s="224" customFormat="1" ht="15" customHeight="1">
      <c r="A22" s="537"/>
      <c r="B22" s="451">
        <v>1</v>
      </c>
      <c r="C22" s="446" t="s">
        <v>236</v>
      </c>
      <c r="D22" s="452">
        <v>145</v>
      </c>
      <c r="E22" s="459">
        <v>20.384</v>
      </c>
      <c r="F22" s="448">
        <f>D22*E22</f>
        <v>2955.68</v>
      </c>
      <c r="G22" s="448">
        <v>0</v>
      </c>
      <c r="H22" s="498">
        <v>0</v>
      </c>
      <c r="I22" s="448">
        <f t="shared" si="1"/>
        <v>2955.68</v>
      </c>
    </row>
    <row r="23" spans="1:9" s="224" customFormat="1" ht="15" customHeight="1">
      <c r="A23" s="537"/>
      <c r="B23" s="451">
        <v>1</v>
      </c>
      <c r="C23" s="446" t="s">
        <v>236</v>
      </c>
      <c r="D23" s="452">
        <v>286</v>
      </c>
      <c r="E23" s="459">
        <v>20.384</v>
      </c>
      <c r="F23" s="448">
        <f aca="true" t="shared" si="2" ref="F23:F30">D23*E23</f>
        <v>5829.8240000000005</v>
      </c>
      <c r="G23" s="448">
        <v>0</v>
      </c>
      <c r="H23" s="498">
        <v>0</v>
      </c>
      <c r="I23" s="448">
        <f aca="true" t="shared" si="3" ref="I23:I29">F23+G23+H23</f>
        <v>5829.8240000000005</v>
      </c>
    </row>
    <row r="24" spans="1:9" s="224" customFormat="1" ht="15" customHeight="1">
      <c r="A24" s="537"/>
      <c r="B24" s="451">
        <v>1</v>
      </c>
      <c r="C24" s="446" t="s">
        <v>242</v>
      </c>
      <c r="D24" s="452">
        <v>252.5</v>
      </c>
      <c r="E24" s="459">
        <v>20.384</v>
      </c>
      <c r="F24" s="448">
        <f t="shared" si="2"/>
        <v>5146.96</v>
      </c>
      <c r="G24" s="448">
        <v>0</v>
      </c>
      <c r="H24" s="498">
        <v>0</v>
      </c>
      <c r="I24" s="448">
        <f t="shared" si="3"/>
        <v>5146.96</v>
      </c>
    </row>
    <row r="25" spans="1:9" s="224" customFormat="1" ht="15" customHeight="1">
      <c r="A25" s="537"/>
      <c r="B25" s="451">
        <v>1</v>
      </c>
      <c r="C25" s="446" t="s">
        <v>242</v>
      </c>
      <c r="D25" s="452">
        <v>92.5</v>
      </c>
      <c r="E25" s="459">
        <v>20.384</v>
      </c>
      <c r="F25" s="448">
        <f t="shared" si="2"/>
        <v>1885.52</v>
      </c>
      <c r="G25" s="448">
        <v>0</v>
      </c>
      <c r="H25" s="498">
        <v>0</v>
      </c>
      <c r="I25" s="448">
        <f t="shared" si="3"/>
        <v>1885.52</v>
      </c>
    </row>
    <row r="26" spans="1:9" s="224" customFormat="1" ht="15" customHeight="1">
      <c r="A26" s="537"/>
      <c r="B26" s="451">
        <v>1</v>
      </c>
      <c r="C26" s="446" t="s">
        <v>236</v>
      </c>
      <c r="D26" s="452">
        <v>193.5</v>
      </c>
      <c r="E26" s="459">
        <v>20.384</v>
      </c>
      <c r="F26" s="448">
        <f t="shared" si="2"/>
        <v>3944.304</v>
      </c>
      <c r="G26" s="448">
        <v>0</v>
      </c>
      <c r="H26" s="498">
        <v>0</v>
      </c>
      <c r="I26" s="448">
        <f t="shared" si="3"/>
        <v>3944.304</v>
      </c>
    </row>
    <row r="27" spans="1:9" s="224" customFormat="1" ht="15" customHeight="1">
      <c r="A27" s="537"/>
      <c r="B27" s="451">
        <v>1</v>
      </c>
      <c r="C27" s="446" t="s">
        <v>242</v>
      </c>
      <c r="D27" s="452">
        <v>177.5</v>
      </c>
      <c r="E27" s="459">
        <v>20.384</v>
      </c>
      <c r="F27" s="448">
        <f t="shared" si="2"/>
        <v>3618.16</v>
      </c>
      <c r="G27" s="448">
        <v>0</v>
      </c>
      <c r="H27" s="498">
        <v>0</v>
      </c>
      <c r="I27" s="448">
        <f t="shared" si="3"/>
        <v>3618.16</v>
      </c>
    </row>
    <row r="28" spans="1:9" s="232" customFormat="1" ht="15" customHeight="1">
      <c r="A28" s="537"/>
      <c r="B28" s="451">
        <v>1</v>
      </c>
      <c r="C28" s="446" t="s">
        <v>242</v>
      </c>
      <c r="D28" s="452">
        <v>605.5</v>
      </c>
      <c r="E28" s="459">
        <v>20.384</v>
      </c>
      <c r="F28" s="448">
        <f>D28*E29</f>
        <v>12342.512</v>
      </c>
      <c r="G28" s="448">
        <v>0</v>
      </c>
      <c r="H28" s="498">
        <v>0</v>
      </c>
      <c r="I28" s="448">
        <f t="shared" si="3"/>
        <v>12342.512</v>
      </c>
    </row>
    <row r="29" spans="1:9" s="232" customFormat="1" ht="15" customHeight="1">
      <c r="A29" s="537"/>
      <c r="B29" s="451">
        <v>1</v>
      </c>
      <c r="C29" s="446" t="s">
        <v>242</v>
      </c>
      <c r="D29" s="452">
        <v>147.5</v>
      </c>
      <c r="E29" s="459">
        <v>20.384</v>
      </c>
      <c r="F29" s="448">
        <f>D29*E30</f>
        <v>3006.64</v>
      </c>
      <c r="G29" s="448">
        <v>0</v>
      </c>
      <c r="H29" s="498">
        <v>0</v>
      </c>
      <c r="I29" s="448">
        <f t="shared" si="3"/>
        <v>3006.64</v>
      </c>
    </row>
    <row r="30" spans="1:9" s="224" customFormat="1" ht="15" customHeight="1">
      <c r="A30" s="537"/>
      <c r="B30" s="451">
        <v>1</v>
      </c>
      <c r="C30" s="446" t="s">
        <v>236</v>
      </c>
      <c r="D30" s="452">
        <v>177</v>
      </c>
      <c r="E30" s="459">
        <v>20.384</v>
      </c>
      <c r="F30" s="448">
        <f t="shared" si="2"/>
        <v>3607.968</v>
      </c>
      <c r="G30" s="448">
        <v>0</v>
      </c>
      <c r="H30" s="498">
        <v>0</v>
      </c>
      <c r="I30" s="448">
        <f>F30+G30+H30-9.844</f>
        <v>3598.124</v>
      </c>
    </row>
    <row r="31" spans="1:11" s="188" customFormat="1" ht="15" customHeight="1">
      <c r="A31" s="95" t="s">
        <v>40</v>
      </c>
      <c r="B31" s="108">
        <f>SUM(B7:B30)</f>
        <v>24</v>
      </c>
      <c r="C31" s="199"/>
      <c r="D31" s="183">
        <f>SUM(D7:D30)</f>
        <v>5686</v>
      </c>
      <c r="E31" s="195"/>
      <c r="F31" s="184">
        <f>SUM(F6:F30)</f>
        <v>142578.81399999998</v>
      </c>
      <c r="G31" s="184">
        <f>SUM(G7:G7)</f>
        <v>0</v>
      </c>
      <c r="H31" s="200">
        <f>SUM(H7:H7)</f>
        <v>0</v>
      </c>
      <c r="I31" s="184">
        <f>SUM(I6:I30)</f>
        <v>142568.97</v>
      </c>
      <c r="K31" s="194"/>
    </row>
    <row r="32" spans="1:9" s="2" customFormat="1" ht="15" customHeight="1">
      <c r="A32" s="93" t="s">
        <v>24</v>
      </c>
      <c r="B32" s="45"/>
      <c r="C32" s="106"/>
      <c r="D32" s="449"/>
      <c r="E32" s="499"/>
      <c r="F32" s="450"/>
      <c r="G32" s="450"/>
      <c r="H32" s="500"/>
      <c r="I32" s="197"/>
    </row>
    <row r="33" spans="1:9" s="53" customFormat="1" ht="15" customHeight="1">
      <c r="A33" s="350" t="s">
        <v>370</v>
      </c>
      <c r="B33" s="317"/>
      <c r="C33" s="351"/>
      <c r="D33" s="352"/>
      <c r="E33" s="353"/>
      <c r="F33" s="353">
        <v>130666.9</v>
      </c>
      <c r="G33" s="386"/>
      <c r="H33" s="353"/>
      <c r="I33" s="353">
        <v>130666.9</v>
      </c>
    </row>
    <row r="34" spans="1:11" s="116" customFormat="1" ht="15" customHeight="1">
      <c r="A34" s="537"/>
      <c r="B34" s="239">
        <v>1</v>
      </c>
      <c r="C34" s="454" t="s">
        <v>242</v>
      </c>
      <c r="D34" s="447">
        <v>323</v>
      </c>
      <c r="E34" s="459">
        <v>20.384</v>
      </c>
      <c r="F34" s="448">
        <f aca="true" t="shared" si="4" ref="F34:F60">D34*E34</f>
        <v>6584.032</v>
      </c>
      <c r="G34" s="448">
        <v>0</v>
      </c>
      <c r="H34" s="498">
        <v>0</v>
      </c>
      <c r="I34" s="448">
        <f aca="true" t="shared" si="5" ref="I34:I81">F34+G34+H34</f>
        <v>6584.032</v>
      </c>
      <c r="K34" s="131"/>
    </row>
    <row r="35" spans="1:9" s="116" customFormat="1" ht="15" customHeight="1">
      <c r="A35" s="537"/>
      <c r="B35" s="239">
        <v>1</v>
      </c>
      <c r="C35" s="446" t="s">
        <v>236</v>
      </c>
      <c r="D35" s="447">
        <v>500</v>
      </c>
      <c r="E35" s="459">
        <v>20.384</v>
      </c>
      <c r="F35" s="448">
        <f t="shared" si="4"/>
        <v>10192</v>
      </c>
      <c r="G35" s="448">
        <v>0</v>
      </c>
      <c r="H35" s="498">
        <v>0</v>
      </c>
      <c r="I35" s="448">
        <f t="shared" si="5"/>
        <v>10192</v>
      </c>
    </row>
    <row r="36" spans="1:9" s="116" customFormat="1" ht="15" customHeight="1">
      <c r="A36" s="537"/>
      <c r="B36" s="239">
        <v>1</v>
      </c>
      <c r="C36" s="446" t="s">
        <v>236</v>
      </c>
      <c r="D36" s="447">
        <v>455</v>
      </c>
      <c r="E36" s="459">
        <v>20.384</v>
      </c>
      <c r="F36" s="448">
        <f t="shared" si="4"/>
        <v>9274.72</v>
      </c>
      <c r="G36" s="448">
        <v>0</v>
      </c>
      <c r="H36" s="498">
        <v>0</v>
      </c>
      <c r="I36" s="448">
        <f t="shared" si="5"/>
        <v>9274.72</v>
      </c>
    </row>
    <row r="37" spans="1:9" s="116" customFormat="1" ht="15" customHeight="1">
      <c r="A37" s="537"/>
      <c r="B37" s="239"/>
      <c r="C37" s="446" t="s">
        <v>244</v>
      </c>
      <c r="D37" s="447"/>
      <c r="E37" s="459"/>
      <c r="F37" s="448">
        <v>1649.33</v>
      </c>
      <c r="G37" s="448"/>
      <c r="H37" s="498"/>
      <c r="I37" s="448">
        <f>F37</f>
        <v>1649.33</v>
      </c>
    </row>
    <row r="38" spans="1:9" s="224" customFormat="1" ht="15" customHeight="1">
      <c r="A38" s="537"/>
      <c r="B38" s="451">
        <v>1</v>
      </c>
      <c r="C38" s="446" t="s">
        <v>236</v>
      </c>
      <c r="D38" s="452">
        <v>364</v>
      </c>
      <c r="E38" s="459">
        <v>20.384</v>
      </c>
      <c r="F38" s="448">
        <f t="shared" si="4"/>
        <v>7419.776</v>
      </c>
      <c r="G38" s="448">
        <v>0</v>
      </c>
      <c r="H38" s="498">
        <v>0</v>
      </c>
      <c r="I38" s="448">
        <f t="shared" si="5"/>
        <v>7419.776</v>
      </c>
    </row>
    <row r="39" spans="1:11" s="224" customFormat="1" ht="15" customHeight="1">
      <c r="A39" s="537"/>
      <c r="B39" s="451">
        <v>1</v>
      </c>
      <c r="C39" s="446" t="s">
        <v>242</v>
      </c>
      <c r="D39" s="452">
        <v>854</v>
      </c>
      <c r="E39" s="459">
        <v>20.384</v>
      </c>
      <c r="F39" s="448">
        <f t="shared" si="4"/>
        <v>17407.936</v>
      </c>
      <c r="G39" s="448">
        <v>0</v>
      </c>
      <c r="H39" s="498">
        <v>0</v>
      </c>
      <c r="I39" s="448">
        <f t="shared" si="5"/>
        <v>17407.936</v>
      </c>
      <c r="K39" s="233"/>
    </row>
    <row r="40" spans="1:9" s="224" customFormat="1" ht="15" customHeight="1">
      <c r="A40" s="537"/>
      <c r="B40" s="451">
        <v>1</v>
      </c>
      <c r="C40" s="446" t="s">
        <v>242</v>
      </c>
      <c r="D40" s="452">
        <v>153</v>
      </c>
      <c r="E40" s="459">
        <v>20.384</v>
      </c>
      <c r="F40" s="448">
        <f t="shared" si="4"/>
        <v>3118.752</v>
      </c>
      <c r="G40" s="448">
        <v>0</v>
      </c>
      <c r="H40" s="498">
        <v>0</v>
      </c>
      <c r="I40" s="448">
        <f t="shared" si="5"/>
        <v>3118.752</v>
      </c>
    </row>
    <row r="41" spans="1:11" s="224" customFormat="1" ht="15" customHeight="1">
      <c r="A41" s="537"/>
      <c r="B41" s="451">
        <v>1</v>
      </c>
      <c r="C41" s="446" t="s">
        <v>242</v>
      </c>
      <c r="D41" s="452">
        <v>255</v>
      </c>
      <c r="E41" s="459">
        <v>20.384</v>
      </c>
      <c r="F41" s="448">
        <f t="shared" si="4"/>
        <v>5197.92</v>
      </c>
      <c r="G41" s="448">
        <v>0</v>
      </c>
      <c r="H41" s="498">
        <v>0</v>
      </c>
      <c r="I41" s="448">
        <f t="shared" si="5"/>
        <v>5197.92</v>
      </c>
      <c r="K41" s="234"/>
    </row>
    <row r="42" spans="1:9" s="224" customFormat="1" ht="15" customHeight="1">
      <c r="A42" s="537"/>
      <c r="B42" s="451">
        <v>1</v>
      </c>
      <c r="C42" s="446" t="s">
        <v>242</v>
      </c>
      <c r="D42" s="452">
        <v>124.75</v>
      </c>
      <c r="E42" s="459">
        <v>20.384</v>
      </c>
      <c r="F42" s="448">
        <f t="shared" si="4"/>
        <v>2542.904</v>
      </c>
      <c r="G42" s="448">
        <v>0</v>
      </c>
      <c r="H42" s="498">
        <v>0</v>
      </c>
      <c r="I42" s="448">
        <f t="shared" si="5"/>
        <v>2542.904</v>
      </c>
    </row>
    <row r="43" spans="1:12" s="224" customFormat="1" ht="15" customHeight="1">
      <c r="A43" s="537"/>
      <c r="B43" s="451">
        <v>1</v>
      </c>
      <c r="C43" s="446" t="s">
        <v>242</v>
      </c>
      <c r="D43" s="452">
        <v>318.5</v>
      </c>
      <c r="E43" s="459">
        <v>20.384</v>
      </c>
      <c r="F43" s="448">
        <f t="shared" si="4"/>
        <v>6492.304</v>
      </c>
      <c r="G43" s="448">
        <v>0</v>
      </c>
      <c r="H43" s="498">
        <v>0</v>
      </c>
      <c r="I43" s="448">
        <f t="shared" si="5"/>
        <v>6492.304</v>
      </c>
      <c r="L43" s="233"/>
    </row>
    <row r="44" spans="1:9" s="224" customFormat="1" ht="15" customHeight="1">
      <c r="A44" s="537"/>
      <c r="B44" s="451">
        <v>1</v>
      </c>
      <c r="C44" s="446" t="s">
        <v>242</v>
      </c>
      <c r="D44" s="452">
        <v>603</v>
      </c>
      <c r="E44" s="459">
        <v>20.384</v>
      </c>
      <c r="F44" s="448">
        <f t="shared" si="4"/>
        <v>12291.552</v>
      </c>
      <c r="G44" s="448">
        <v>0</v>
      </c>
      <c r="H44" s="498">
        <v>0</v>
      </c>
      <c r="I44" s="448">
        <f t="shared" si="5"/>
        <v>12291.552</v>
      </c>
    </row>
    <row r="45" spans="1:9" s="224" customFormat="1" ht="15" customHeight="1">
      <c r="A45" s="537"/>
      <c r="B45" s="451">
        <v>1</v>
      </c>
      <c r="C45" s="446" t="s">
        <v>236</v>
      </c>
      <c r="D45" s="452">
        <v>517</v>
      </c>
      <c r="E45" s="459">
        <v>20.384</v>
      </c>
      <c r="F45" s="448">
        <f t="shared" si="4"/>
        <v>10538.528</v>
      </c>
      <c r="G45" s="448">
        <v>0</v>
      </c>
      <c r="H45" s="498">
        <v>0</v>
      </c>
      <c r="I45" s="448">
        <f t="shared" si="5"/>
        <v>10538.528</v>
      </c>
    </row>
    <row r="46" spans="1:9" s="224" customFormat="1" ht="15" customHeight="1">
      <c r="A46" s="537"/>
      <c r="B46" s="451">
        <v>1</v>
      </c>
      <c r="C46" s="446" t="s">
        <v>236</v>
      </c>
      <c r="D46" s="452">
        <v>772.75</v>
      </c>
      <c r="E46" s="459">
        <v>20.384</v>
      </c>
      <c r="F46" s="448">
        <f t="shared" si="4"/>
        <v>15751.736</v>
      </c>
      <c r="G46" s="448">
        <v>0</v>
      </c>
      <c r="H46" s="498">
        <v>0</v>
      </c>
      <c r="I46" s="448">
        <f t="shared" si="5"/>
        <v>15751.736</v>
      </c>
    </row>
    <row r="47" spans="1:9" s="224" customFormat="1" ht="15" customHeight="1">
      <c r="A47" s="537"/>
      <c r="B47" s="451">
        <v>1</v>
      </c>
      <c r="C47" s="446" t="s">
        <v>242</v>
      </c>
      <c r="D47" s="452">
        <v>175.75</v>
      </c>
      <c r="E47" s="459">
        <v>20.384</v>
      </c>
      <c r="F47" s="448">
        <f t="shared" si="4"/>
        <v>3582.4880000000003</v>
      </c>
      <c r="G47" s="448">
        <v>0</v>
      </c>
      <c r="H47" s="498">
        <v>0</v>
      </c>
      <c r="I47" s="448">
        <f t="shared" si="5"/>
        <v>3582.4880000000003</v>
      </c>
    </row>
    <row r="48" spans="1:11" s="224" customFormat="1" ht="15" customHeight="1">
      <c r="A48" s="537"/>
      <c r="B48" s="451">
        <v>1</v>
      </c>
      <c r="C48" s="446" t="s">
        <v>242</v>
      </c>
      <c r="D48" s="452">
        <v>384</v>
      </c>
      <c r="E48" s="459">
        <v>20.384</v>
      </c>
      <c r="F48" s="448">
        <f t="shared" si="4"/>
        <v>7827.456</v>
      </c>
      <c r="G48" s="448">
        <v>0</v>
      </c>
      <c r="H48" s="498">
        <v>0</v>
      </c>
      <c r="I48" s="448">
        <f t="shared" si="5"/>
        <v>7827.456</v>
      </c>
      <c r="J48" s="232"/>
      <c r="K48" s="233"/>
    </row>
    <row r="49" spans="1:11" s="224" customFormat="1" ht="15" customHeight="1">
      <c r="A49" s="537"/>
      <c r="B49" s="451">
        <v>1</v>
      </c>
      <c r="C49" s="446" t="s">
        <v>242</v>
      </c>
      <c r="D49" s="452">
        <v>224</v>
      </c>
      <c r="E49" s="459">
        <v>20.384</v>
      </c>
      <c r="F49" s="448">
        <f t="shared" si="4"/>
        <v>4566.016</v>
      </c>
      <c r="G49" s="448">
        <v>0</v>
      </c>
      <c r="H49" s="498">
        <v>0</v>
      </c>
      <c r="I49" s="448">
        <f t="shared" si="5"/>
        <v>4566.016</v>
      </c>
      <c r="J49" s="232"/>
      <c r="K49" s="233"/>
    </row>
    <row r="50" spans="1:11" s="224" customFormat="1" ht="15" customHeight="1">
      <c r="A50" s="537"/>
      <c r="B50" s="451">
        <v>1</v>
      </c>
      <c r="C50" s="446" t="s">
        <v>242</v>
      </c>
      <c r="D50" s="452">
        <v>215</v>
      </c>
      <c r="E50" s="459">
        <v>20.384</v>
      </c>
      <c r="F50" s="448">
        <f t="shared" si="4"/>
        <v>4382.56</v>
      </c>
      <c r="G50" s="448">
        <v>0</v>
      </c>
      <c r="H50" s="498">
        <v>0</v>
      </c>
      <c r="I50" s="448">
        <f t="shared" si="5"/>
        <v>4382.56</v>
      </c>
      <c r="J50" s="232"/>
      <c r="K50" s="233"/>
    </row>
    <row r="51" spans="1:11" s="224" customFormat="1" ht="15" customHeight="1">
      <c r="A51" s="537"/>
      <c r="B51" s="451">
        <v>1</v>
      </c>
      <c r="C51" s="446" t="s">
        <v>236</v>
      </c>
      <c r="D51" s="452">
        <v>267</v>
      </c>
      <c r="E51" s="459">
        <v>20.384</v>
      </c>
      <c r="F51" s="448">
        <f t="shared" si="4"/>
        <v>5442.528</v>
      </c>
      <c r="G51" s="448">
        <v>0</v>
      </c>
      <c r="H51" s="498">
        <v>0</v>
      </c>
      <c r="I51" s="448">
        <f t="shared" si="5"/>
        <v>5442.528</v>
      </c>
      <c r="J51" s="232"/>
      <c r="K51" s="233"/>
    </row>
    <row r="52" spans="1:11" s="224" customFormat="1" ht="15" customHeight="1">
      <c r="A52" s="537"/>
      <c r="B52" s="451"/>
      <c r="C52" s="446" t="s">
        <v>91</v>
      </c>
      <c r="D52" s="452">
        <v>180</v>
      </c>
      <c r="E52" s="459">
        <v>27.04</v>
      </c>
      <c r="F52" s="448">
        <v>4934.8</v>
      </c>
      <c r="G52" s="448">
        <v>0</v>
      </c>
      <c r="H52" s="498">
        <v>0</v>
      </c>
      <c r="I52" s="448">
        <f t="shared" si="5"/>
        <v>4934.8</v>
      </c>
      <c r="J52" s="232"/>
      <c r="K52" s="233"/>
    </row>
    <row r="53" spans="1:11" s="224" customFormat="1" ht="15" customHeight="1">
      <c r="A53" s="537"/>
      <c r="B53" s="451">
        <v>1</v>
      </c>
      <c r="C53" s="446" t="s">
        <v>242</v>
      </c>
      <c r="D53" s="452">
        <v>243.25</v>
      </c>
      <c r="E53" s="459">
        <v>20.384</v>
      </c>
      <c r="F53" s="448">
        <f t="shared" si="4"/>
        <v>4958.408</v>
      </c>
      <c r="G53" s="448">
        <v>0</v>
      </c>
      <c r="H53" s="498">
        <v>0</v>
      </c>
      <c r="I53" s="448">
        <f t="shared" si="5"/>
        <v>4958.408</v>
      </c>
      <c r="K53" s="233"/>
    </row>
    <row r="54" spans="1:9" s="224" customFormat="1" ht="15" customHeight="1">
      <c r="A54" s="537"/>
      <c r="B54" s="451">
        <v>1</v>
      </c>
      <c r="C54" s="446" t="s">
        <v>242</v>
      </c>
      <c r="D54" s="452">
        <v>314.75</v>
      </c>
      <c r="E54" s="459">
        <v>20.384</v>
      </c>
      <c r="F54" s="448">
        <f t="shared" si="4"/>
        <v>6415.8640000000005</v>
      </c>
      <c r="G54" s="448">
        <v>0</v>
      </c>
      <c r="H54" s="498">
        <v>0</v>
      </c>
      <c r="I54" s="448">
        <f t="shared" si="5"/>
        <v>6415.8640000000005</v>
      </c>
    </row>
    <row r="55" spans="1:9" s="224" customFormat="1" ht="15" customHeight="1">
      <c r="A55" s="537"/>
      <c r="B55" s="451">
        <v>1</v>
      </c>
      <c r="C55" s="446" t="s">
        <v>242</v>
      </c>
      <c r="D55" s="452">
        <v>262.5</v>
      </c>
      <c r="E55" s="459">
        <v>20.384</v>
      </c>
      <c r="F55" s="448">
        <f t="shared" si="4"/>
        <v>5350.8</v>
      </c>
      <c r="G55" s="448">
        <v>0</v>
      </c>
      <c r="H55" s="498">
        <v>0</v>
      </c>
      <c r="I55" s="448">
        <f t="shared" si="5"/>
        <v>5350.8</v>
      </c>
    </row>
    <row r="56" spans="1:9" s="224" customFormat="1" ht="15" customHeight="1">
      <c r="A56" s="537"/>
      <c r="B56" s="451">
        <v>1</v>
      </c>
      <c r="C56" s="446" t="s">
        <v>242</v>
      </c>
      <c r="D56" s="452">
        <v>470.5</v>
      </c>
      <c r="E56" s="459">
        <v>20.384</v>
      </c>
      <c r="F56" s="448">
        <f t="shared" si="4"/>
        <v>9590.672</v>
      </c>
      <c r="G56" s="448">
        <v>0</v>
      </c>
      <c r="H56" s="498">
        <v>0</v>
      </c>
      <c r="I56" s="448">
        <f t="shared" si="5"/>
        <v>9590.672</v>
      </c>
    </row>
    <row r="57" spans="1:9" s="224" customFormat="1" ht="15" customHeight="1">
      <c r="A57" s="537"/>
      <c r="B57" s="451">
        <v>1</v>
      </c>
      <c r="C57" s="446" t="s">
        <v>272</v>
      </c>
      <c r="D57" s="452">
        <v>530.5</v>
      </c>
      <c r="E57" s="459">
        <v>20.384</v>
      </c>
      <c r="F57" s="448">
        <f t="shared" si="4"/>
        <v>10813.712</v>
      </c>
      <c r="G57" s="448">
        <v>0</v>
      </c>
      <c r="H57" s="498">
        <v>0</v>
      </c>
      <c r="I57" s="448">
        <f t="shared" si="5"/>
        <v>10813.712</v>
      </c>
    </row>
    <row r="58" spans="1:9" s="224" customFormat="1" ht="15" customHeight="1">
      <c r="A58" s="537"/>
      <c r="B58" s="451">
        <v>1</v>
      </c>
      <c r="C58" s="446" t="s">
        <v>236</v>
      </c>
      <c r="D58" s="452">
        <v>94.5</v>
      </c>
      <c r="E58" s="459">
        <v>20.384</v>
      </c>
      <c r="F58" s="448">
        <f t="shared" si="4"/>
        <v>1926.288</v>
      </c>
      <c r="G58" s="448">
        <v>0</v>
      </c>
      <c r="H58" s="498">
        <v>0</v>
      </c>
      <c r="I58" s="448">
        <f t="shared" si="5"/>
        <v>1926.288</v>
      </c>
    </row>
    <row r="59" spans="1:9" s="224" customFormat="1" ht="15" customHeight="1">
      <c r="A59" s="537"/>
      <c r="B59" s="451">
        <v>1</v>
      </c>
      <c r="C59" s="446" t="s">
        <v>242</v>
      </c>
      <c r="D59" s="452">
        <v>859.5</v>
      </c>
      <c r="E59" s="459">
        <v>20.384</v>
      </c>
      <c r="F59" s="448">
        <f t="shared" si="4"/>
        <v>17520.048</v>
      </c>
      <c r="G59" s="448">
        <v>0</v>
      </c>
      <c r="H59" s="498">
        <v>0</v>
      </c>
      <c r="I59" s="448">
        <f t="shared" si="5"/>
        <v>17520.048</v>
      </c>
    </row>
    <row r="60" spans="1:9" s="224" customFormat="1" ht="15" customHeight="1">
      <c r="A60" s="537"/>
      <c r="B60" s="451">
        <v>1</v>
      </c>
      <c r="C60" s="446" t="s">
        <v>236</v>
      </c>
      <c r="D60" s="452">
        <v>98.25</v>
      </c>
      <c r="E60" s="459">
        <v>20.384</v>
      </c>
      <c r="F60" s="448">
        <f t="shared" si="4"/>
        <v>2002.728</v>
      </c>
      <c r="G60" s="448">
        <v>0</v>
      </c>
      <c r="H60" s="498">
        <v>0</v>
      </c>
      <c r="I60" s="448">
        <f t="shared" si="5"/>
        <v>2002.728</v>
      </c>
    </row>
    <row r="61" spans="1:9" s="224" customFormat="1" ht="15" customHeight="1">
      <c r="A61" s="537"/>
      <c r="B61" s="451">
        <v>1</v>
      </c>
      <c r="C61" s="446" t="s">
        <v>236</v>
      </c>
      <c r="D61" s="452">
        <v>286.25</v>
      </c>
      <c r="E61" s="459">
        <v>20.384</v>
      </c>
      <c r="F61" s="448">
        <f aca="true" t="shared" si="6" ref="F61:F72">D61*E61</f>
        <v>5834.92</v>
      </c>
      <c r="G61" s="448">
        <v>0</v>
      </c>
      <c r="H61" s="498">
        <v>0</v>
      </c>
      <c r="I61" s="448">
        <f t="shared" si="5"/>
        <v>5834.92</v>
      </c>
    </row>
    <row r="62" spans="1:9" s="224" customFormat="1" ht="15" customHeight="1">
      <c r="A62" s="537"/>
      <c r="B62" s="451">
        <v>1</v>
      </c>
      <c r="C62" s="446" t="s">
        <v>242</v>
      </c>
      <c r="D62" s="452">
        <v>360.75</v>
      </c>
      <c r="E62" s="459">
        <v>20.384</v>
      </c>
      <c r="F62" s="448">
        <f t="shared" si="6"/>
        <v>7353.528</v>
      </c>
      <c r="G62" s="448">
        <v>0</v>
      </c>
      <c r="H62" s="498">
        <v>0</v>
      </c>
      <c r="I62" s="448">
        <f t="shared" si="5"/>
        <v>7353.528</v>
      </c>
    </row>
    <row r="63" spans="1:9" s="224" customFormat="1" ht="15" customHeight="1">
      <c r="A63" s="537"/>
      <c r="B63" s="451">
        <v>1</v>
      </c>
      <c r="C63" s="446" t="s">
        <v>242</v>
      </c>
      <c r="D63" s="452">
        <v>482.5</v>
      </c>
      <c r="E63" s="459">
        <v>20.384</v>
      </c>
      <c r="F63" s="448">
        <f t="shared" si="6"/>
        <v>9835.28</v>
      </c>
      <c r="G63" s="448">
        <v>0</v>
      </c>
      <c r="H63" s="498">
        <v>0</v>
      </c>
      <c r="I63" s="448">
        <f t="shared" si="5"/>
        <v>9835.28</v>
      </c>
    </row>
    <row r="64" spans="1:9" s="224" customFormat="1" ht="15" customHeight="1">
      <c r="A64" s="537"/>
      <c r="B64" s="451">
        <v>1</v>
      </c>
      <c r="C64" s="446" t="s">
        <v>242</v>
      </c>
      <c r="D64" s="452">
        <v>380.25</v>
      </c>
      <c r="E64" s="459">
        <v>20.384</v>
      </c>
      <c r="F64" s="448">
        <f t="shared" si="6"/>
        <v>7751.0160000000005</v>
      </c>
      <c r="G64" s="448">
        <v>0</v>
      </c>
      <c r="H64" s="498">
        <v>0</v>
      </c>
      <c r="I64" s="448">
        <f t="shared" si="5"/>
        <v>7751.0160000000005</v>
      </c>
    </row>
    <row r="65" spans="1:9" s="224" customFormat="1" ht="15" customHeight="1">
      <c r="A65" s="537"/>
      <c r="B65" s="451">
        <v>1</v>
      </c>
      <c r="C65" s="446" t="s">
        <v>243</v>
      </c>
      <c r="D65" s="452">
        <f>352.5+220.25</f>
        <v>572.75</v>
      </c>
      <c r="E65" s="459">
        <v>20.384</v>
      </c>
      <c r="F65" s="448">
        <f t="shared" si="6"/>
        <v>11674.936</v>
      </c>
      <c r="G65" s="448">
        <v>0</v>
      </c>
      <c r="H65" s="498">
        <v>0</v>
      </c>
      <c r="I65" s="448">
        <f t="shared" si="5"/>
        <v>11674.936</v>
      </c>
    </row>
    <row r="66" spans="1:11" s="224" customFormat="1" ht="15" customHeight="1">
      <c r="A66" s="537"/>
      <c r="B66" s="451">
        <v>1</v>
      </c>
      <c r="C66" s="446" t="s">
        <v>10</v>
      </c>
      <c r="D66" s="452">
        <v>325.5</v>
      </c>
      <c r="E66" s="459">
        <v>20.384</v>
      </c>
      <c r="F66" s="448">
        <f t="shared" si="6"/>
        <v>6634.992</v>
      </c>
      <c r="G66" s="448">
        <v>0</v>
      </c>
      <c r="H66" s="498">
        <v>0</v>
      </c>
      <c r="I66" s="448">
        <f t="shared" si="5"/>
        <v>6634.992</v>
      </c>
      <c r="K66" s="233"/>
    </row>
    <row r="67" spans="1:9" s="224" customFormat="1" ht="15" customHeight="1">
      <c r="A67" s="537"/>
      <c r="B67" s="451">
        <v>1</v>
      </c>
      <c r="C67" s="446" t="s">
        <v>236</v>
      </c>
      <c r="D67" s="452">
        <v>444</v>
      </c>
      <c r="E67" s="459">
        <v>20.384</v>
      </c>
      <c r="F67" s="448">
        <f t="shared" si="6"/>
        <v>9050.496000000001</v>
      </c>
      <c r="G67" s="448">
        <v>0</v>
      </c>
      <c r="H67" s="498">
        <v>0</v>
      </c>
      <c r="I67" s="448">
        <f t="shared" si="5"/>
        <v>9050.496000000001</v>
      </c>
    </row>
    <row r="68" spans="1:9" s="224" customFormat="1" ht="15" customHeight="1">
      <c r="A68" s="537"/>
      <c r="B68" s="451">
        <v>1</v>
      </c>
      <c r="C68" s="446" t="s">
        <v>242</v>
      </c>
      <c r="D68" s="452">
        <v>258.5</v>
      </c>
      <c r="E68" s="459">
        <v>20.384</v>
      </c>
      <c r="F68" s="448">
        <f t="shared" si="6"/>
        <v>5269.264</v>
      </c>
      <c r="G68" s="448">
        <v>0</v>
      </c>
      <c r="H68" s="498">
        <v>0</v>
      </c>
      <c r="I68" s="448">
        <f t="shared" si="5"/>
        <v>5269.264</v>
      </c>
    </row>
    <row r="69" spans="1:9" s="224" customFormat="1" ht="15" customHeight="1">
      <c r="A69" s="537"/>
      <c r="B69" s="451">
        <v>1</v>
      </c>
      <c r="C69" s="446" t="s">
        <v>242</v>
      </c>
      <c r="D69" s="452">
        <v>266.5</v>
      </c>
      <c r="E69" s="459">
        <v>20.384</v>
      </c>
      <c r="F69" s="448">
        <f t="shared" si="6"/>
        <v>5432.336</v>
      </c>
      <c r="G69" s="448">
        <v>0</v>
      </c>
      <c r="H69" s="498">
        <v>0</v>
      </c>
      <c r="I69" s="448">
        <f t="shared" si="5"/>
        <v>5432.336</v>
      </c>
    </row>
    <row r="70" spans="1:9" s="224" customFormat="1" ht="15" customHeight="1">
      <c r="A70" s="537"/>
      <c r="B70" s="451">
        <v>1</v>
      </c>
      <c r="C70" s="446" t="s">
        <v>242</v>
      </c>
      <c r="D70" s="452">
        <v>205</v>
      </c>
      <c r="E70" s="459">
        <v>20.384</v>
      </c>
      <c r="F70" s="448">
        <f t="shared" si="6"/>
        <v>4178.72</v>
      </c>
      <c r="G70" s="448">
        <v>0</v>
      </c>
      <c r="H70" s="498">
        <v>0</v>
      </c>
      <c r="I70" s="448">
        <f t="shared" si="5"/>
        <v>4178.72</v>
      </c>
    </row>
    <row r="71" spans="1:9" s="224" customFormat="1" ht="15" customHeight="1">
      <c r="A71" s="537"/>
      <c r="B71" s="451">
        <v>1</v>
      </c>
      <c r="C71" s="446" t="s">
        <v>236</v>
      </c>
      <c r="D71" s="452">
        <v>254.5</v>
      </c>
      <c r="E71" s="459">
        <v>20.384</v>
      </c>
      <c r="F71" s="448">
        <f t="shared" si="6"/>
        <v>5187.728</v>
      </c>
      <c r="G71" s="448">
        <v>0</v>
      </c>
      <c r="H71" s="498">
        <v>0</v>
      </c>
      <c r="I71" s="448">
        <f t="shared" si="5"/>
        <v>5187.728</v>
      </c>
    </row>
    <row r="72" spans="1:9" s="224" customFormat="1" ht="15" customHeight="1">
      <c r="A72" s="537"/>
      <c r="B72" s="451">
        <v>1</v>
      </c>
      <c r="C72" s="446" t="s">
        <v>242</v>
      </c>
      <c r="D72" s="452">
        <v>361.5</v>
      </c>
      <c r="E72" s="459">
        <v>20.384</v>
      </c>
      <c r="F72" s="448">
        <f t="shared" si="6"/>
        <v>7368.816</v>
      </c>
      <c r="G72" s="448">
        <v>0</v>
      </c>
      <c r="H72" s="498">
        <v>0</v>
      </c>
      <c r="I72" s="448">
        <f t="shared" si="5"/>
        <v>7368.816</v>
      </c>
    </row>
    <row r="73" spans="1:9" s="224" customFormat="1" ht="15" customHeight="1">
      <c r="A73" s="537"/>
      <c r="B73" s="451">
        <v>1</v>
      </c>
      <c r="C73" s="446" t="s">
        <v>7</v>
      </c>
      <c r="D73" s="452">
        <v>429</v>
      </c>
      <c r="E73" s="459">
        <v>20.384</v>
      </c>
      <c r="F73" s="448">
        <f>D73*E74</f>
        <v>8744.736</v>
      </c>
      <c r="G73" s="448">
        <v>0</v>
      </c>
      <c r="H73" s="498">
        <v>0</v>
      </c>
      <c r="I73" s="448">
        <f t="shared" si="5"/>
        <v>8744.736</v>
      </c>
    </row>
    <row r="74" spans="1:9" s="224" customFormat="1" ht="15" customHeight="1">
      <c r="A74" s="537"/>
      <c r="B74" s="451">
        <v>1</v>
      </c>
      <c r="C74" s="446" t="s">
        <v>242</v>
      </c>
      <c r="D74" s="452">
        <v>451</v>
      </c>
      <c r="E74" s="459">
        <v>20.384</v>
      </c>
      <c r="F74" s="448">
        <f aca="true" t="shared" si="7" ref="F74:F81">D74*E74</f>
        <v>9193.184</v>
      </c>
      <c r="G74" s="448">
        <v>0</v>
      </c>
      <c r="H74" s="498">
        <v>0</v>
      </c>
      <c r="I74" s="448">
        <f t="shared" si="5"/>
        <v>9193.184</v>
      </c>
    </row>
    <row r="75" spans="1:9" s="224" customFormat="1" ht="15" customHeight="1">
      <c r="A75" s="537"/>
      <c r="B75" s="451">
        <v>1</v>
      </c>
      <c r="C75" s="446" t="s">
        <v>10</v>
      </c>
      <c r="D75" s="452">
        <v>538.5</v>
      </c>
      <c r="E75" s="459">
        <v>20.384</v>
      </c>
      <c r="F75" s="448">
        <v>11690</v>
      </c>
      <c r="G75" s="448">
        <v>0</v>
      </c>
      <c r="H75" s="498">
        <v>0</v>
      </c>
      <c r="I75" s="448">
        <f t="shared" si="5"/>
        <v>11690</v>
      </c>
    </row>
    <row r="76" spans="1:9" s="224" customFormat="1" ht="15" customHeight="1">
      <c r="A76" s="537"/>
      <c r="B76" s="451">
        <v>1</v>
      </c>
      <c r="C76" s="446" t="s">
        <v>242</v>
      </c>
      <c r="D76" s="452">
        <v>455.75</v>
      </c>
      <c r="E76" s="459">
        <v>20.384</v>
      </c>
      <c r="F76" s="448">
        <f t="shared" si="7"/>
        <v>9290.008</v>
      </c>
      <c r="G76" s="448">
        <v>0</v>
      </c>
      <c r="H76" s="498">
        <v>0</v>
      </c>
      <c r="I76" s="448">
        <f t="shared" si="5"/>
        <v>9290.008</v>
      </c>
    </row>
    <row r="77" spans="1:9" s="224" customFormat="1" ht="15" customHeight="1">
      <c r="A77" s="537"/>
      <c r="B77" s="451">
        <v>1</v>
      </c>
      <c r="C77" s="446" t="s">
        <v>236</v>
      </c>
      <c r="D77" s="452">
        <v>532.5</v>
      </c>
      <c r="E77" s="459">
        <v>20.384</v>
      </c>
      <c r="F77" s="448">
        <f t="shared" si="7"/>
        <v>10854.48</v>
      </c>
      <c r="G77" s="448">
        <v>0</v>
      </c>
      <c r="H77" s="498">
        <v>0</v>
      </c>
      <c r="I77" s="448">
        <f t="shared" si="5"/>
        <v>10854.48</v>
      </c>
    </row>
    <row r="78" spans="1:9" s="224" customFormat="1" ht="15" customHeight="1">
      <c r="A78" s="537"/>
      <c r="B78" s="451">
        <v>1</v>
      </c>
      <c r="C78" s="446" t="s">
        <v>236</v>
      </c>
      <c r="D78" s="452">
        <v>272</v>
      </c>
      <c r="E78" s="459">
        <v>20.384</v>
      </c>
      <c r="F78" s="448">
        <f t="shared" si="7"/>
        <v>5544.448</v>
      </c>
      <c r="G78" s="448">
        <v>0</v>
      </c>
      <c r="H78" s="498">
        <v>0</v>
      </c>
      <c r="I78" s="448">
        <f t="shared" si="5"/>
        <v>5544.448</v>
      </c>
    </row>
    <row r="79" spans="1:9" s="224" customFormat="1" ht="15" customHeight="1">
      <c r="A79" s="537"/>
      <c r="B79" s="451">
        <v>1</v>
      </c>
      <c r="C79" s="446" t="s">
        <v>271</v>
      </c>
      <c r="D79" s="452">
        <v>218</v>
      </c>
      <c r="E79" s="459">
        <v>20.384</v>
      </c>
      <c r="F79" s="448">
        <f t="shared" si="7"/>
        <v>4443.712</v>
      </c>
      <c r="G79" s="448">
        <v>0</v>
      </c>
      <c r="H79" s="498">
        <v>0</v>
      </c>
      <c r="I79" s="448">
        <f t="shared" si="5"/>
        <v>4443.712</v>
      </c>
    </row>
    <row r="80" spans="1:9" s="224" customFormat="1" ht="15" customHeight="1">
      <c r="A80" s="537"/>
      <c r="B80" s="451">
        <v>1</v>
      </c>
      <c r="C80" s="446" t="s">
        <v>242</v>
      </c>
      <c r="D80" s="452">
        <v>743.5</v>
      </c>
      <c r="E80" s="459">
        <v>20.384</v>
      </c>
      <c r="F80" s="448">
        <f t="shared" si="7"/>
        <v>15155.504</v>
      </c>
      <c r="G80" s="448">
        <v>0</v>
      </c>
      <c r="H80" s="498">
        <v>0</v>
      </c>
      <c r="I80" s="448">
        <f t="shared" si="5"/>
        <v>15155.504</v>
      </c>
    </row>
    <row r="81" spans="1:9" s="224" customFormat="1" ht="15" customHeight="1">
      <c r="A81" s="537"/>
      <c r="B81" s="451">
        <v>1</v>
      </c>
      <c r="C81" s="446" t="s">
        <v>242</v>
      </c>
      <c r="D81" s="452">
        <v>559</v>
      </c>
      <c r="E81" s="459">
        <v>20.384</v>
      </c>
      <c r="F81" s="448">
        <f t="shared" si="7"/>
        <v>11394.656</v>
      </c>
      <c r="G81" s="448">
        <v>0</v>
      </c>
      <c r="H81" s="498">
        <v>0</v>
      </c>
      <c r="I81" s="448">
        <f t="shared" si="5"/>
        <v>11394.656</v>
      </c>
    </row>
    <row r="82" spans="1:9" s="224" customFormat="1" ht="15" customHeight="1">
      <c r="A82" s="537"/>
      <c r="B82" s="451">
        <v>1</v>
      </c>
      <c r="C82" s="446" t="s">
        <v>236</v>
      </c>
      <c r="D82" s="452">
        <v>625</v>
      </c>
      <c r="E82" s="459">
        <v>20.384</v>
      </c>
      <c r="F82" s="448">
        <f aca="true" t="shared" si="8" ref="F82:F95">D82*E82</f>
        <v>12740</v>
      </c>
      <c r="G82" s="448">
        <v>0</v>
      </c>
      <c r="H82" s="498">
        <v>0</v>
      </c>
      <c r="I82" s="448">
        <f aca="true" t="shared" si="9" ref="I82:I95">F82+G82+H82</f>
        <v>12740</v>
      </c>
    </row>
    <row r="83" spans="1:9" s="224" customFormat="1" ht="15" customHeight="1">
      <c r="A83" s="537"/>
      <c r="B83" s="451">
        <v>1</v>
      </c>
      <c r="C83" s="446" t="s">
        <v>242</v>
      </c>
      <c r="D83" s="452">
        <v>121</v>
      </c>
      <c r="E83" s="459">
        <v>20.384</v>
      </c>
      <c r="F83" s="448">
        <f t="shared" si="8"/>
        <v>2466.464</v>
      </c>
      <c r="G83" s="448">
        <v>0</v>
      </c>
      <c r="H83" s="498">
        <v>0</v>
      </c>
      <c r="I83" s="448">
        <f t="shared" si="9"/>
        <v>2466.464</v>
      </c>
    </row>
    <row r="84" spans="1:9" s="224" customFormat="1" ht="15" customHeight="1">
      <c r="A84" s="537"/>
      <c r="B84" s="451">
        <v>1</v>
      </c>
      <c r="C84" s="446" t="s">
        <v>242</v>
      </c>
      <c r="D84" s="452">
        <v>108.25</v>
      </c>
      <c r="E84" s="459">
        <v>20.384</v>
      </c>
      <c r="F84" s="448">
        <f t="shared" si="8"/>
        <v>2206.568</v>
      </c>
      <c r="G84" s="448">
        <v>0</v>
      </c>
      <c r="H84" s="498">
        <v>0</v>
      </c>
      <c r="I84" s="448">
        <f t="shared" si="9"/>
        <v>2206.568</v>
      </c>
    </row>
    <row r="85" spans="1:9" s="224" customFormat="1" ht="15" customHeight="1">
      <c r="A85" s="537"/>
      <c r="B85" s="451">
        <v>1</v>
      </c>
      <c r="C85" s="446" t="s">
        <v>242</v>
      </c>
      <c r="D85" s="452">
        <v>573.5</v>
      </c>
      <c r="E85" s="459">
        <v>20.384</v>
      </c>
      <c r="F85" s="448">
        <f t="shared" si="8"/>
        <v>11690.224</v>
      </c>
      <c r="G85" s="448">
        <v>0</v>
      </c>
      <c r="H85" s="498">
        <v>0</v>
      </c>
      <c r="I85" s="448">
        <f t="shared" si="9"/>
        <v>11690.224</v>
      </c>
    </row>
    <row r="86" spans="1:9" s="224" customFormat="1" ht="15" customHeight="1">
      <c r="A86" s="537"/>
      <c r="B86" s="451">
        <v>1</v>
      </c>
      <c r="C86" s="446" t="s">
        <v>242</v>
      </c>
      <c r="D86" s="452">
        <v>435.5</v>
      </c>
      <c r="E86" s="459">
        <v>20.384</v>
      </c>
      <c r="F86" s="448">
        <f t="shared" si="8"/>
        <v>8877.232</v>
      </c>
      <c r="G86" s="448">
        <v>0</v>
      </c>
      <c r="H86" s="498">
        <v>0</v>
      </c>
      <c r="I86" s="448">
        <f t="shared" si="9"/>
        <v>8877.232</v>
      </c>
    </row>
    <row r="87" spans="1:9" s="224" customFormat="1" ht="15" customHeight="1">
      <c r="A87" s="537"/>
      <c r="B87" s="451">
        <v>1</v>
      </c>
      <c r="C87" s="446" t="s">
        <v>242</v>
      </c>
      <c r="D87" s="452">
        <v>874</v>
      </c>
      <c r="E87" s="459">
        <v>20.384</v>
      </c>
      <c r="F87" s="448">
        <f t="shared" si="8"/>
        <v>17815.616</v>
      </c>
      <c r="G87" s="448">
        <v>0</v>
      </c>
      <c r="H87" s="498">
        <v>0</v>
      </c>
      <c r="I87" s="448">
        <f t="shared" si="9"/>
        <v>17815.616</v>
      </c>
    </row>
    <row r="88" spans="1:9" s="224" customFormat="1" ht="15" customHeight="1">
      <c r="A88" s="537"/>
      <c r="B88" s="451">
        <v>1</v>
      </c>
      <c r="C88" s="446" t="s">
        <v>236</v>
      </c>
      <c r="D88" s="452">
        <v>592</v>
      </c>
      <c r="E88" s="459">
        <v>20.384</v>
      </c>
      <c r="F88" s="448">
        <f t="shared" si="8"/>
        <v>12067.328</v>
      </c>
      <c r="G88" s="448">
        <v>0</v>
      </c>
      <c r="H88" s="498">
        <v>0</v>
      </c>
      <c r="I88" s="448">
        <f t="shared" si="9"/>
        <v>12067.328</v>
      </c>
    </row>
    <row r="89" spans="1:9" s="224" customFormat="1" ht="15" customHeight="1">
      <c r="A89" s="537"/>
      <c r="B89" s="451">
        <v>1</v>
      </c>
      <c r="C89" s="446" t="s">
        <v>242</v>
      </c>
      <c r="D89" s="452">
        <v>36</v>
      </c>
      <c r="E89" s="459">
        <v>20.384</v>
      </c>
      <c r="F89" s="448">
        <f t="shared" si="8"/>
        <v>733.8240000000001</v>
      </c>
      <c r="G89" s="448">
        <v>0</v>
      </c>
      <c r="H89" s="498">
        <v>0</v>
      </c>
      <c r="I89" s="448">
        <f t="shared" si="9"/>
        <v>733.8240000000001</v>
      </c>
    </row>
    <row r="90" spans="1:9" s="232" customFormat="1" ht="15" customHeight="1">
      <c r="A90" s="537"/>
      <c r="B90" s="451">
        <v>1</v>
      </c>
      <c r="C90" s="446" t="s">
        <v>236</v>
      </c>
      <c r="D90" s="452">
        <v>525</v>
      </c>
      <c r="E90" s="459">
        <v>20.384</v>
      </c>
      <c r="F90" s="448">
        <f t="shared" si="8"/>
        <v>10701.6</v>
      </c>
      <c r="G90" s="448">
        <v>0</v>
      </c>
      <c r="H90" s="498">
        <v>0</v>
      </c>
      <c r="I90" s="448">
        <f t="shared" si="9"/>
        <v>10701.6</v>
      </c>
    </row>
    <row r="91" spans="1:9" s="232" customFormat="1" ht="15" customHeight="1">
      <c r="A91" s="537"/>
      <c r="B91" s="451">
        <v>1</v>
      </c>
      <c r="C91" s="446" t="s">
        <v>242</v>
      </c>
      <c r="D91" s="452">
        <v>173</v>
      </c>
      <c r="E91" s="459">
        <v>20.384</v>
      </c>
      <c r="F91" s="448">
        <f t="shared" si="8"/>
        <v>3526.4320000000002</v>
      </c>
      <c r="G91" s="448">
        <v>0</v>
      </c>
      <c r="H91" s="498">
        <v>0</v>
      </c>
      <c r="I91" s="448">
        <f t="shared" si="9"/>
        <v>3526.4320000000002</v>
      </c>
    </row>
    <row r="92" spans="1:9" s="232" customFormat="1" ht="15" customHeight="1">
      <c r="A92" s="537"/>
      <c r="B92" s="451">
        <v>1</v>
      </c>
      <c r="C92" s="446" t="s">
        <v>242</v>
      </c>
      <c r="D92" s="452">
        <v>37</v>
      </c>
      <c r="E92" s="459">
        <v>20.384</v>
      </c>
      <c r="F92" s="448">
        <f t="shared" si="8"/>
        <v>754.208</v>
      </c>
      <c r="G92" s="448">
        <v>0</v>
      </c>
      <c r="H92" s="498">
        <v>0</v>
      </c>
      <c r="I92" s="448">
        <f t="shared" si="9"/>
        <v>754.208</v>
      </c>
    </row>
    <row r="93" spans="1:9" s="232" customFormat="1" ht="15" customHeight="1">
      <c r="A93" s="537"/>
      <c r="B93" s="451">
        <v>1</v>
      </c>
      <c r="C93" s="446" t="s">
        <v>236</v>
      </c>
      <c r="D93" s="452">
        <v>265</v>
      </c>
      <c r="E93" s="459">
        <v>20.384</v>
      </c>
      <c r="F93" s="448">
        <f t="shared" si="8"/>
        <v>5401.76</v>
      </c>
      <c r="G93" s="448">
        <v>0</v>
      </c>
      <c r="H93" s="498">
        <v>0</v>
      </c>
      <c r="I93" s="448">
        <f t="shared" si="9"/>
        <v>5401.76</v>
      </c>
    </row>
    <row r="94" spans="1:9" s="232" customFormat="1" ht="15" customHeight="1">
      <c r="A94" s="537"/>
      <c r="B94" s="451">
        <v>1</v>
      </c>
      <c r="C94" s="446" t="s">
        <v>242</v>
      </c>
      <c r="D94" s="452">
        <v>457</v>
      </c>
      <c r="E94" s="459">
        <v>20.384</v>
      </c>
      <c r="F94" s="448">
        <f t="shared" si="8"/>
        <v>9315.488</v>
      </c>
      <c r="G94" s="448">
        <v>0</v>
      </c>
      <c r="H94" s="498">
        <v>0</v>
      </c>
      <c r="I94" s="448">
        <f t="shared" si="9"/>
        <v>9315.488</v>
      </c>
    </row>
    <row r="95" spans="1:9" s="232" customFormat="1" ht="15" customHeight="1">
      <c r="A95" s="537"/>
      <c r="B95" s="451">
        <v>1</v>
      </c>
      <c r="C95" s="446" t="s">
        <v>242</v>
      </c>
      <c r="D95" s="452">
        <v>751.5</v>
      </c>
      <c r="E95" s="459">
        <v>20.384</v>
      </c>
      <c r="F95" s="448">
        <f t="shared" si="8"/>
        <v>15318.576000000001</v>
      </c>
      <c r="G95" s="448">
        <v>0</v>
      </c>
      <c r="H95" s="498">
        <v>0</v>
      </c>
      <c r="I95" s="448">
        <f t="shared" si="9"/>
        <v>15318.576000000001</v>
      </c>
    </row>
    <row r="96" spans="1:9" s="232" customFormat="1" ht="15" customHeight="1">
      <c r="A96" s="501" t="s">
        <v>113</v>
      </c>
      <c r="B96" s="451"/>
      <c r="C96" s="446" t="s">
        <v>242</v>
      </c>
      <c r="D96" s="452"/>
      <c r="E96" s="459"/>
      <c r="F96" s="448"/>
      <c r="G96" s="448"/>
      <c r="H96" s="498"/>
      <c r="I96" s="448">
        <f>107.55+2.52</f>
        <v>110.07</v>
      </c>
    </row>
    <row r="97" spans="1:9" s="201" customFormat="1" ht="15" customHeight="1">
      <c r="A97" s="95" t="s">
        <v>204</v>
      </c>
      <c r="B97" s="186">
        <f>SUM(B34:B95)</f>
        <v>60</v>
      </c>
      <c r="C97" s="107"/>
      <c r="D97" s="235">
        <f>SUM(D34:D95)</f>
        <v>23530.5</v>
      </c>
      <c r="E97" s="195"/>
      <c r="F97" s="184">
        <f>SUM(F33:F95)</f>
        <v>613940.8380000001</v>
      </c>
      <c r="G97" s="184">
        <v>0</v>
      </c>
      <c r="H97" s="200">
        <f>SUM(H34:H94)</f>
        <v>0</v>
      </c>
      <c r="I97" s="184">
        <f>SUM(I33:I96)</f>
        <v>614050.908</v>
      </c>
    </row>
    <row r="98" spans="1:9" s="2" customFormat="1" ht="15" customHeight="1">
      <c r="A98" s="93" t="s">
        <v>27</v>
      </c>
      <c r="B98" s="45"/>
      <c r="C98" s="106"/>
      <c r="D98" s="449"/>
      <c r="E98" s="499"/>
      <c r="F98" s="450"/>
      <c r="G98" s="450"/>
      <c r="H98" s="500"/>
      <c r="I98" s="197"/>
    </row>
    <row r="99" spans="1:9" s="53" customFormat="1" ht="15" customHeight="1">
      <c r="A99" s="350" t="s">
        <v>370</v>
      </c>
      <c r="B99" s="317"/>
      <c r="C99" s="351"/>
      <c r="D99" s="352"/>
      <c r="E99" s="353"/>
      <c r="F99" s="353">
        <v>14887.1</v>
      </c>
      <c r="G99" s="386"/>
      <c r="H99" s="353"/>
      <c r="I99" s="353">
        <v>14887.1</v>
      </c>
    </row>
    <row r="100" spans="1:9" s="224" customFormat="1" ht="15" customHeight="1">
      <c r="A100" s="537"/>
      <c r="B100" s="451">
        <v>1</v>
      </c>
      <c r="C100" s="446" t="s">
        <v>242</v>
      </c>
      <c r="D100" s="452">
        <v>157</v>
      </c>
      <c r="E100" s="459">
        <v>20.384</v>
      </c>
      <c r="F100" s="448">
        <f aca="true" t="shared" si="10" ref="F100:F111">D100*E100</f>
        <v>3200.288</v>
      </c>
      <c r="G100" s="448">
        <v>0</v>
      </c>
      <c r="H100" s="498">
        <v>0</v>
      </c>
      <c r="I100" s="448">
        <f aca="true" t="shared" si="11" ref="I100:I112">F100+G100+H100</f>
        <v>3200.288</v>
      </c>
    </row>
    <row r="101" spans="1:9" s="224" customFormat="1" ht="14.25" customHeight="1">
      <c r="A101" s="537"/>
      <c r="B101" s="451">
        <v>1</v>
      </c>
      <c r="C101" s="446" t="s">
        <v>242</v>
      </c>
      <c r="D101" s="452">
        <v>241</v>
      </c>
      <c r="E101" s="459">
        <v>20.384</v>
      </c>
      <c r="F101" s="448">
        <f t="shared" si="10"/>
        <v>4912.544</v>
      </c>
      <c r="G101" s="448">
        <v>0</v>
      </c>
      <c r="H101" s="498">
        <v>0</v>
      </c>
      <c r="I101" s="448">
        <f t="shared" si="11"/>
        <v>4912.544</v>
      </c>
    </row>
    <row r="102" spans="1:9" s="224" customFormat="1" ht="15" customHeight="1">
      <c r="A102" s="537"/>
      <c r="B102" s="451">
        <v>1</v>
      </c>
      <c r="C102" s="446" t="s">
        <v>242</v>
      </c>
      <c r="D102" s="452">
        <v>146</v>
      </c>
      <c r="E102" s="459">
        <v>20.384</v>
      </c>
      <c r="F102" s="448">
        <f t="shared" si="10"/>
        <v>2976.064</v>
      </c>
      <c r="G102" s="448">
        <v>0</v>
      </c>
      <c r="H102" s="498">
        <v>0</v>
      </c>
      <c r="I102" s="448">
        <f t="shared" si="11"/>
        <v>2976.064</v>
      </c>
    </row>
    <row r="103" spans="1:9" s="224" customFormat="1" ht="15" customHeight="1">
      <c r="A103" s="537"/>
      <c r="B103" s="451">
        <v>1</v>
      </c>
      <c r="C103" s="446" t="s">
        <v>242</v>
      </c>
      <c r="D103" s="452">
        <v>231</v>
      </c>
      <c r="E103" s="459">
        <v>20.384</v>
      </c>
      <c r="F103" s="448">
        <f>D103*E104</f>
        <v>4708.704</v>
      </c>
      <c r="G103" s="448">
        <v>0</v>
      </c>
      <c r="H103" s="498">
        <v>0</v>
      </c>
      <c r="I103" s="448">
        <f t="shared" si="11"/>
        <v>4708.704</v>
      </c>
    </row>
    <row r="104" spans="1:9" s="224" customFormat="1" ht="15" customHeight="1">
      <c r="A104" s="537"/>
      <c r="B104" s="451">
        <v>1</v>
      </c>
      <c r="C104" s="446" t="s">
        <v>242</v>
      </c>
      <c r="D104" s="452">
        <v>139</v>
      </c>
      <c r="E104" s="459">
        <v>20.384</v>
      </c>
      <c r="F104" s="448">
        <f>D104*E105</f>
        <v>2833.376</v>
      </c>
      <c r="G104" s="448">
        <v>0</v>
      </c>
      <c r="H104" s="498">
        <v>0</v>
      </c>
      <c r="I104" s="448">
        <f t="shared" si="11"/>
        <v>2833.376</v>
      </c>
    </row>
    <row r="105" spans="1:9" s="224" customFormat="1" ht="15" customHeight="1">
      <c r="A105" s="537"/>
      <c r="B105" s="451">
        <v>1</v>
      </c>
      <c r="C105" s="446" t="s">
        <v>236</v>
      </c>
      <c r="D105" s="452">
        <v>183.25</v>
      </c>
      <c r="E105" s="459">
        <v>20.384</v>
      </c>
      <c r="F105" s="448">
        <f t="shared" si="10"/>
        <v>3735.368</v>
      </c>
      <c r="G105" s="448">
        <v>0</v>
      </c>
      <c r="H105" s="498">
        <v>0</v>
      </c>
      <c r="I105" s="448">
        <f t="shared" si="11"/>
        <v>3735.368</v>
      </c>
    </row>
    <row r="106" spans="1:9" s="224" customFormat="1" ht="15" customHeight="1">
      <c r="A106" s="537"/>
      <c r="B106" s="451">
        <v>1</v>
      </c>
      <c r="C106" s="446" t="s">
        <v>236</v>
      </c>
      <c r="D106" s="452">
        <v>166</v>
      </c>
      <c r="E106" s="459">
        <v>20.384</v>
      </c>
      <c r="F106" s="448">
        <f t="shared" si="10"/>
        <v>3383.744</v>
      </c>
      <c r="G106" s="448">
        <v>0</v>
      </c>
      <c r="H106" s="498">
        <v>0</v>
      </c>
      <c r="I106" s="448">
        <f t="shared" si="11"/>
        <v>3383.744</v>
      </c>
    </row>
    <row r="107" spans="1:9" s="224" customFormat="1" ht="15" customHeight="1">
      <c r="A107" s="537"/>
      <c r="B107" s="451">
        <v>1</v>
      </c>
      <c r="C107" s="446" t="s">
        <v>242</v>
      </c>
      <c r="D107" s="452">
        <v>174.5</v>
      </c>
      <c r="E107" s="459">
        <v>20.384</v>
      </c>
      <c r="F107" s="448">
        <f t="shared" si="10"/>
        <v>3557.0080000000003</v>
      </c>
      <c r="G107" s="448">
        <v>0</v>
      </c>
      <c r="H107" s="498">
        <v>0</v>
      </c>
      <c r="I107" s="448">
        <f t="shared" si="11"/>
        <v>3557.0080000000003</v>
      </c>
    </row>
    <row r="108" spans="1:9" s="224" customFormat="1" ht="15" customHeight="1">
      <c r="A108" s="537"/>
      <c r="B108" s="451">
        <v>1</v>
      </c>
      <c r="C108" s="446" t="s">
        <v>242</v>
      </c>
      <c r="D108" s="452">
        <v>345</v>
      </c>
      <c r="E108" s="459">
        <v>20.384</v>
      </c>
      <c r="F108" s="448">
        <f t="shared" si="10"/>
        <v>7032.4800000000005</v>
      </c>
      <c r="G108" s="448">
        <v>0</v>
      </c>
      <c r="H108" s="498">
        <v>0</v>
      </c>
      <c r="I108" s="448">
        <f t="shared" si="11"/>
        <v>7032.4800000000005</v>
      </c>
    </row>
    <row r="109" spans="1:9" s="224" customFormat="1" ht="15" customHeight="1">
      <c r="A109" s="537"/>
      <c r="B109" s="451">
        <v>1</v>
      </c>
      <c r="C109" s="446" t="s">
        <v>242</v>
      </c>
      <c r="D109" s="452">
        <v>183</v>
      </c>
      <c r="E109" s="459">
        <v>20.384</v>
      </c>
      <c r="F109" s="448">
        <f t="shared" si="10"/>
        <v>3730.272</v>
      </c>
      <c r="G109" s="448">
        <v>0</v>
      </c>
      <c r="H109" s="498">
        <v>0</v>
      </c>
      <c r="I109" s="448">
        <f t="shared" si="11"/>
        <v>3730.272</v>
      </c>
    </row>
    <row r="110" spans="1:9" s="224" customFormat="1" ht="15" customHeight="1">
      <c r="A110" s="537"/>
      <c r="B110" s="451">
        <v>1</v>
      </c>
      <c r="C110" s="446" t="s">
        <v>243</v>
      </c>
      <c r="D110" s="452">
        <v>169</v>
      </c>
      <c r="E110" s="459">
        <v>20.384</v>
      </c>
      <c r="F110" s="448">
        <f t="shared" si="10"/>
        <v>3444.896</v>
      </c>
      <c r="G110" s="448">
        <v>0</v>
      </c>
      <c r="H110" s="498">
        <v>0</v>
      </c>
      <c r="I110" s="448">
        <f t="shared" si="11"/>
        <v>3444.896</v>
      </c>
    </row>
    <row r="111" spans="1:9" s="224" customFormat="1" ht="15" customHeight="1">
      <c r="A111" s="537"/>
      <c r="B111" s="451">
        <v>1</v>
      </c>
      <c r="C111" s="446" t="s">
        <v>236</v>
      </c>
      <c r="D111" s="452">
        <v>101.5</v>
      </c>
      <c r="E111" s="459">
        <v>20.384</v>
      </c>
      <c r="F111" s="448">
        <f t="shared" si="10"/>
        <v>2068.976</v>
      </c>
      <c r="G111" s="448">
        <v>0</v>
      </c>
      <c r="H111" s="498">
        <v>0</v>
      </c>
      <c r="I111" s="448">
        <f t="shared" si="11"/>
        <v>2068.976</v>
      </c>
    </row>
    <row r="112" spans="1:9" s="232" customFormat="1" ht="15" customHeight="1">
      <c r="A112" s="537"/>
      <c r="B112" s="451">
        <v>1</v>
      </c>
      <c r="C112" s="446" t="s">
        <v>236</v>
      </c>
      <c r="D112" s="452">
        <v>361</v>
      </c>
      <c r="E112" s="459">
        <v>20.384</v>
      </c>
      <c r="F112" s="448">
        <f>D112*E112+0.01</f>
        <v>7358.634</v>
      </c>
      <c r="G112" s="448">
        <v>0</v>
      </c>
      <c r="H112" s="498">
        <v>0</v>
      </c>
      <c r="I112" s="448">
        <f t="shared" si="11"/>
        <v>7358.634</v>
      </c>
    </row>
    <row r="113" spans="1:9" s="201" customFormat="1" ht="15" customHeight="1">
      <c r="A113" s="95" t="s">
        <v>188</v>
      </c>
      <c r="B113" s="186">
        <f>SUM(B100:B112)</f>
        <v>13</v>
      </c>
      <c r="C113" s="107"/>
      <c r="D113" s="183">
        <f>SUM(D100:D112)</f>
        <v>2597.25</v>
      </c>
      <c r="E113" s="195"/>
      <c r="F113" s="184">
        <f>SUM(F99:F112)</f>
        <v>67829.45400000001</v>
      </c>
      <c r="G113" s="184">
        <f>SUM(G53:G111)</f>
        <v>0</v>
      </c>
      <c r="H113" s="200">
        <f>SUM(H53:H111)</f>
        <v>0</v>
      </c>
      <c r="I113" s="184">
        <f>SUM(I99:I112)</f>
        <v>67829.45400000001</v>
      </c>
    </row>
    <row r="114" spans="1:9" s="2" customFormat="1" ht="15" customHeight="1">
      <c r="A114" s="93" t="s">
        <v>28</v>
      </c>
      <c r="B114" s="45"/>
      <c r="C114" s="106"/>
      <c r="D114" s="449"/>
      <c r="E114" s="499"/>
      <c r="F114" s="450"/>
      <c r="G114" s="450"/>
      <c r="H114" s="500"/>
      <c r="I114" s="197"/>
    </row>
    <row r="115" spans="1:9" s="53" customFormat="1" ht="15" customHeight="1">
      <c r="A115" s="350" t="s">
        <v>369</v>
      </c>
      <c r="B115" s="317"/>
      <c r="C115" s="351"/>
      <c r="D115" s="352"/>
      <c r="E115" s="353"/>
      <c r="F115" s="353">
        <v>33753.43</v>
      </c>
      <c r="G115" s="386"/>
      <c r="H115" s="353"/>
      <c r="I115" s="353">
        <v>33753.43</v>
      </c>
    </row>
    <row r="116" spans="1:11" s="116" customFormat="1" ht="15" customHeight="1">
      <c r="A116" s="537"/>
      <c r="B116" s="239">
        <v>1</v>
      </c>
      <c r="C116" s="446" t="s">
        <v>236</v>
      </c>
      <c r="D116" s="447">
        <v>94</v>
      </c>
      <c r="E116" s="459">
        <v>20.384</v>
      </c>
      <c r="F116" s="448">
        <f aca="true" t="shared" si="12" ref="F116:F143">D116*E116</f>
        <v>1916.096</v>
      </c>
      <c r="G116" s="448">
        <v>0</v>
      </c>
      <c r="H116" s="498">
        <v>0</v>
      </c>
      <c r="I116" s="448">
        <f aca="true" t="shared" si="13" ref="I116:I143">F116+G116+H116</f>
        <v>1916.096</v>
      </c>
      <c r="K116" s="131"/>
    </row>
    <row r="117" spans="1:11" s="116" customFormat="1" ht="15" customHeight="1">
      <c r="A117" s="537"/>
      <c r="B117" s="239">
        <v>1</v>
      </c>
      <c r="C117" s="446" t="s">
        <v>236</v>
      </c>
      <c r="D117" s="447">
        <v>426</v>
      </c>
      <c r="E117" s="459">
        <v>20.384</v>
      </c>
      <c r="F117" s="448">
        <f t="shared" si="12"/>
        <v>8683.584</v>
      </c>
      <c r="G117" s="448">
        <v>0</v>
      </c>
      <c r="H117" s="498">
        <v>0</v>
      </c>
      <c r="I117" s="448">
        <f t="shared" si="13"/>
        <v>8683.584</v>
      </c>
      <c r="K117" s="131"/>
    </row>
    <row r="118" spans="1:11" s="116" customFormat="1" ht="15" customHeight="1">
      <c r="A118" s="537"/>
      <c r="B118" s="239">
        <v>1</v>
      </c>
      <c r="C118" s="446" t="s">
        <v>236</v>
      </c>
      <c r="D118" s="447">
        <v>354</v>
      </c>
      <c r="E118" s="459">
        <v>20.384</v>
      </c>
      <c r="F118" s="448">
        <f t="shared" si="12"/>
        <v>7215.936</v>
      </c>
      <c r="G118" s="448">
        <v>0</v>
      </c>
      <c r="H118" s="498">
        <v>0</v>
      </c>
      <c r="I118" s="448">
        <f t="shared" si="13"/>
        <v>7215.936</v>
      </c>
      <c r="K118" s="131"/>
    </row>
    <row r="119" spans="1:11" s="116" customFormat="1" ht="15" customHeight="1">
      <c r="A119" s="537"/>
      <c r="B119" s="239">
        <v>1</v>
      </c>
      <c r="C119" s="446" t="s">
        <v>236</v>
      </c>
      <c r="D119" s="447">
        <v>136</v>
      </c>
      <c r="E119" s="459">
        <v>20.384</v>
      </c>
      <c r="F119" s="448">
        <f t="shared" si="12"/>
        <v>2772.224</v>
      </c>
      <c r="G119" s="448">
        <v>0</v>
      </c>
      <c r="H119" s="498">
        <v>0</v>
      </c>
      <c r="I119" s="448">
        <f t="shared" si="13"/>
        <v>2772.224</v>
      </c>
      <c r="K119" s="131"/>
    </row>
    <row r="120" spans="1:11" s="116" customFormat="1" ht="15" customHeight="1">
      <c r="A120" s="537"/>
      <c r="B120" s="239">
        <v>1</v>
      </c>
      <c r="C120" s="446" t="s">
        <v>236</v>
      </c>
      <c r="D120" s="447">
        <v>341.5</v>
      </c>
      <c r="E120" s="459">
        <v>20.384</v>
      </c>
      <c r="F120" s="448">
        <f t="shared" si="12"/>
        <v>6961.136</v>
      </c>
      <c r="G120" s="448">
        <v>0</v>
      </c>
      <c r="H120" s="498">
        <v>0</v>
      </c>
      <c r="I120" s="448">
        <f t="shared" si="13"/>
        <v>6961.136</v>
      </c>
      <c r="K120" s="131"/>
    </row>
    <row r="121" spans="1:11" s="116" customFormat="1" ht="15" customHeight="1">
      <c r="A121" s="537"/>
      <c r="B121" s="239">
        <v>1</v>
      </c>
      <c r="C121" s="446" t="s">
        <v>236</v>
      </c>
      <c r="D121" s="447">
        <v>90</v>
      </c>
      <c r="E121" s="459">
        <v>20.384</v>
      </c>
      <c r="F121" s="448">
        <f t="shared" si="12"/>
        <v>1834.56</v>
      </c>
      <c r="G121" s="448">
        <v>0</v>
      </c>
      <c r="H121" s="498">
        <v>0</v>
      </c>
      <c r="I121" s="448">
        <f t="shared" si="13"/>
        <v>1834.56</v>
      </c>
      <c r="K121" s="131"/>
    </row>
    <row r="122" spans="1:11" s="116" customFormat="1" ht="15" customHeight="1">
      <c r="A122" s="537"/>
      <c r="B122" s="239">
        <v>1</v>
      </c>
      <c r="C122" s="446" t="s">
        <v>236</v>
      </c>
      <c r="D122" s="447">
        <v>106</v>
      </c>
      <c r="E122" s="459">
        <v>20.384</v>
      </c>
      <c r="F122" s="448">
        <f t="shared" si="12"/>
        <v>2160.704</v>
      </c>
      <c r="G122" s="448">
        <v>0</v>
      </c>
      <c r="H122" s="498">
        <v>0</v>
      </c>
      <c r="I122" s="448">
        <f t="shared" si="13"/>
        <v>2160.704</v>
      </c>
      <c r="K122" s="131"/>
    </row>
    <row r="123" spans="1:11" s="116" customFormat="1" ht="15" customHeight="1">
      <c r="A123" s="537"/>
      <c r="B123" s="239">
        <v>1</v>
      </c>
      <c r="C123" s="446" t="s">
        <v>236</v>
      </c>
      <c r="D123" s="447">
        <v>245</v>
      </c>
      <c r="E123" s="459">
        <v>20.384</v>
      </c>
      <c r="F123" s="448">
        <f t="shared" si="12"/>
        <v>4994.08</v>
      </c>
      <c r="G123" s="448">
        <v>0</v>
      </c>
      <c r="H123" s="498">
        <v>0</v>
      </c>
      <c r="I123" s="448">
        <f t="shared" si="13"/>
        <v>4994.08</v>
      </c>
      <c r="K123" s="131"/>
    </row>
    <row r="124" spans="1:11" s="116" customFormat="1" ht="15" customHeight="1">
      <c r="A124" s="537"/>
      <c r="B124" s="239">
        <v>1</v>
      </c>
      <c r="C124" s="446" t="s">
        <v>236</v>
      </c>
      <c r="D124" s="447">
        <v>383</v>
      </c>
      <c r="E124" s="459">
        <v>20.384</v>
      </c>
      <c r="F124" s="448">
        <f t="shared" si="12"/>
        <v>7807.072</v>
      </c>
      <c r="G124" s="448">
        <v>0</v>
      </c>
      <c r="H124" s="498">
        <v>0</v>
      </c>
      <c r="I124" s="448">
        <f t="shared" si="13"/>
        <v>7807.072</v>
      </c>
      <c r="K124" s="131"/>
    </row>
    <row r="125" spans="1:11" s="116" customFormat="1" ht="15" customHeight="1">
      <c r="A125" s="537"/>
      <c r="B125" s="239">
        <v>1</v>
      </c>
      <c r="C125" s="446" t="s">
        <v>236</v>
      </c>
      <c r="D125" s="447">
        <v>405</v>
      </c>
      <c r="E125" s="459">
        <v>20.384</v>
      </c>
      <c r="F125" s="448">
        <f t="shared" si="12"/>
        <v>8255.52</v>
      </c>
      <c r="G125" s="448">
        <v>0</v>
      </c>
      <c r="H125" s="498">
        <v>0</v>
      </c>
      <c r="I125" s="448">
        <f t="shared" si="13"/>
        <v>8255.52</v>
      </c>
      <c r="K125" s="131"/>
    </row>
    <row r="126" spans="1:11" s="116" customFormat="1" ht="15" customHeight="1">
      <c r="A126" s="537"/>
      <c r="B126" s="239">
        <v>1</v>
      </c>
      <c r="C126" s="446" t="s">
        <v>242</v>
      </c>
      <c r="D126" s="447">
        <v>155</v>
      </c>
      <c r="E126" s="459">
        <v>20.384</v>
      </c>
      <c r="F126" s="448">
        <f t="shared" si="12"/>
        <v>3159.52</v>
      </c>
      <c r="G126" s="448">
        <v>0</v>
      </c>
      <c r="H126" s="498">
        <v>0</v>
      </c>
      <c r="I126" s="448">
        <f t="shared" si="13"/>
        <v>3159.52</v>
      </c>
      <c r="K126" s="131"/>
    </row>
    <row r="127" spans="1:11" s="116" customFormat="1" ht="15" customHeight="1">
      <c r="A127" s="537"/>
      <c r="B127" s="239">
        <v>1</v>
      </c>
      <c r="C127" s="446" t="s">
        <v>236</v>
      </c>
      <c r="D127" s="447">
        <v>226</v>
      </c>
      <c r="E127" s="459">
        <v>20.384</v>
      </c>
      <c r="F127" s="448">
        <f t="shared" si="12"/>
        <v>4606.784</v>
      </c>
      <c r="G127" s="448">
        <v>0</v>
      </c>
      <c r="H127" s="498">
        <v>0</v>
      </c>
      <c r="I127" s="448">
        <f t="shared" si="13"/>
        <v>4606.784</v>
      </c>
      <c r="K127" s="131"/>
    </row>
    <row r="128" spans="1:11" s="116" customFormat="1" ht="15" customHeight="1">
      <c r="A128" s="537"/>
      <c r="B128" s="239">
        <v>1</v>
      </c>
      <c r="C128" s="446" t="s">
        <v>236</v>
      </c>
      <c r="D128" s="447">
        <v>193</v>
      </c>
      <c r="E128" s="459">
        <v>20.384</v>
      </c>
      <c r="F128" s="448">
        <f t="shared" si="12"/>
        <v>3934.112</v>
      </c>
      <c r="G128" s="448">
        <v>0</v>
      </c>
      <c r="H128" s="498">
        <v>0</v>
      </c>
      <c r="I128" s="448">
        <f t="shared" si="13"/>
        <v>3934.112</v>
      </c>
      <c r="K128" s="131"/>
    </row>
    <row r="129" spans="1:11" s="116" customFormat="1" ht="15" customHeight="1">
      <c r="A129" s="537"/>
      <c r="B129" s="239">
        <v>1</v>
      </c>
      <c r="C129" s="446" t="s">
        <v>236</v>
      </c>
      <c r="D129" s="447">
        <v>93</v>
      </c>
      <c r="E129" s="459">
        <v>20.384</v>
      </c>
      <c r="F129" s="448">
        <f t="shared" si="12"/>
        <v>1895.712</v>
      </c>
      <c r="G129" s="448">
        <v>0</v>
      </c>
      <c r="H129" s="498">
        <v>0</v>
      </c>
      <c r="I129" s="448">
        <f t="shared" si="13"/>
        <v>1895.712</v>
      </c>
      <c r="K129" s="131"/>
    </row>
    <row r="130" spans="1:11" s="116" customFormat="1" ht="15" customHeight="1">
      <c r="A130" s="537"/>
      <c r="B130" s="239">
        <v>1</v>
      </c>
      <c r="C130" s="446" t="s">
        <v>236</v>
      </c>
      <c r="D130" s="447">
        <v>18</v>
      </c>
      <c r="E130" s="459">
        <v>20.384</v>
      </c>
      <c r="F130" s="448">
        <f t="shared" si="12"/>
        <v>366.91200000000003</v>
      </c>
      <c r="G130" s="448">
        <v>0</v>
      </c>
      <c r="H130" s="498">
        <v>0</v>
      </c>
      <c r="I130" s="448">
        <f t="shared" si="13"/>
        <v>366.91200000000003</v>
      </c>
      <c r="K130" s="131"/>
    </row>
    <row r="131" spans="1:11" s="116" customFormat="1" ht="15" customHeight="1">
      <c r="A131" s="537"/>
      <c r="B131" s="239">
        <v>1</v>
      </c>
      <c r="C131" s="446" t="s">
        <v>236</v>
      </c>
      <c r="D131" s="447">
        <v>334</v>
      </c>
      <c r="E131" s="459">
        <v>20.384</v>
      </c>
      <c r="F131" s="448">
        <f t="shared" si="12"/>
        <v>6808.256</v>
      </c>
      <c r="G131" s="448">
        <v>0</v>
      </c>
      <c r="H131" s="498">
        <v>0</v>
      </c>
      <c r="I131" s="448">
        <f t="shared" si="13"/>
        <v>6808.256</v>
      </c>
      <c r="K131" s="131"/>
    </row>
    <row r="132" spans="1:11" s="116" customFormat="1" ht="15" customHeight="1">
      <c r="A132" s="537"/>
      <c r="B132" s="239">
        <v>1</v>
      </c>
      <c r="C132" s="446" t="s">
        <v>236</v>
      </c>
      <c r="D132" s="447">
        <v>185</v>
      </c>
      <c r="E132" s="459">
        <v>20.384</v>
      </c>
      <c r="F132" s="448">
        <f t="shared" si="12"/>
        <v>3771.04</v>
      </c>
      <c r="G132" s="448">
        <v>0</v>
      </c>
      <c r="H132" s="498">
        <v>0</v>
      </c>
      <c r="I132" s="448">
        <f t="shared" si="13"/>
        <v>3771.04</v>
      </c>
      <c r="K132" s="131"/>
    </row>
    <row r="133" spans="1:11" s="116" customFormat="1" ht="15" customHeight="1">
      <c r="A133" s="537"/>
      <c r="B133" s="239">
        <v>1</v>
      </c>
      <c r="C133" s="446" t="s">
        <v>236</v>
      </c>
      <c r="D133" s="447">
        <v>405</v>
      </c>
      <c r="E133" s="459">
        <v>20.384</v>
      </c>
      <c r="F133" s="448">
        <f t="shared" si="12"/>
        <v>8255.52</v>
      </c>
      <c r="G133" s="448">
        <v>0</v>
      </c>
      <c r="H133" s="498">
        <v>0</v>
      </c>
      <c r="I133" s="448">
        <f t="shared" si="13"/>
        <v>8255.52</v>
      </c>
      <c r="K133" s="131"/>
    </row>
    <row r="134" spans="1:11" s="116" customFormat="1" ht="15" customHeight="1">
      <c r="A134" s="537"/>
      <c r="B134" s="453">
        <v>1</v>
      </c>
      <c r="C134" s="446" t="s">
        <v>236</v>
      </c>
      <c r="D134" s="452">
        <v>114</v>
      </c>
      <c r="E134" s="459">
        <v>20.384</v>
      </c>
      <c r="F134" s="448">
        <f t="shared" si="12"/>
        <v>2323.776</v>
      </c>
      <c r="G134" s="448">
        <v>0</v>
      </c>
      <c r="H134" s="498">
        <v>0</v>
      </c>
      <c r="I134" s="448">
        <f t="shared" si="13"/>
        <v>2323.776</v>
      </c>
      <c r="K134" s="131"/>
    </row>
    <row r="135" spans="1:11" s="116" customFormat="1" ht="15" customHeight="1">
      <c r="A135" s="537"/>
      <c r="B135" s="239">
        <v>1</v>
      </c>
      <c r="C135" s="446" t="s">
        <v>236</v>
      </c>
      <c r="D135" s="447">
        <v>165</v>
      </c>
      <c r="E135" s="459">
        <v>20.384</v>
      </c>
      <c r="F135" s="448">
        <f t="shared" si="12"/>
        <v>3363.36</v>
      </c>
      <c r="G135" s="448">
        <v>0</v>
      </c>
      <c r="H135" s="498">
        <v>0</v>
      </c>
      <c r="I135" s="448">
        <f t="shared" si="13"/>
        <v>3363.36</v>
      </c>
      <c r="K135" s="131"/>
    </row>
    <row r="136" spans="1:11" s="116" customFormat="1" ht="15" customHeight="1">
      <c r="A136" s="537"/>
      <c r="B136" s="239">
        <v>1</v>
      </c>
      <c r="C136" s="446" t="s">
        <v>236</v>
      </c>
      <c r="D136" s="447">
        <v>323.8</v>
      </c>
      <c r="E136" s="459">
        <v>20.384</v>
      </c>
      <c r="F136" s="448">
        <f t="shared" si="12"/>
        <v>6600.3392</v>
      </c>
      <c r="G136" s="448">
        <v>0</v>
      </c>
      <c r="H136" s="498">
        <v>0</v>
      </c>
      <c r="I136" s="448">
        <f t="shared" si="13"/>
        <v>6600.3392</v>
      </c>
      <c r="K136" s="131"/>
    </row>
    <row r="137" spans="1:11" s="116" customFormat="1" ht="15" customHeight="1">
      <c r="A137" s="537"/>
      <c r="B137" s="239">
        <v>1</v>
      </c>
      <c r="C137" s="446" t="s">
        <v>236</v>
      </c>
      <c r="D137" s="447">
        <v>111</v>
      </c>
      <c r="E137" s="459">
        <v>20.384</v>
      </c>
      <c r="F137" s="448">
        <f t="shared" si="12"/>
        <v>2262.6240000000003</v>
      </c>
      <c r="G137" s="448">
        <v>0</v>
      </c>
      <c r="H137" s="498">
        <v>0</v>
      </c>
      <c r="I137" s="448">
        <f t="shared" si="13"/>
        <v>2262.6240000000003</v>
      </c>
      <c r="K137" s="131"/>
    </row>
    <row r="138" spans="1:11" s="116" customFormat="1" ht="15" customHeight="1">
      <c r="A138" s="537"/>
      <c r="B138" s="239">
        <v>1</v>
      </c>
      <c r="C138" s="446" t="s">
        <v>236</v>
      </c>
      <c r="D138" s="447">
        <v>191</v>
      </c>
      <c r="E138" s="459">
        <v>20.384</v>
      </c>
      <c r="F138" s="448">
        <f t="shared" si="12"/>
        <v>3893.344</v>
      </c>
      <c r="G138" s="448">
        <v>0</v>
      </c>
      <c r="H138" s="498">
        <v>0</v>
      </c>
      <c r="I138" s="448">
        <f t="shared" si="13"/>
        <v>3893.344</v>
      </c>
      <c r="K138" s="131"/>
    </row>
    <row r="139" spans="1:9" s="232" customFormat="1" ht="15" customHeight="1">
      <c r="A139" s="537"/>
      <c r="B139" s="239">
        <v>1</v>
      </c>
      <c r="C139" s="446" t="s">
        <v>236</v>
      </c>
      <c r="D139" s="447">
        <v>112</v>
      </c>
      <c r="E139" s="459">
        <v>20.384</v>
      </c>
      <c r="F139" s="448">
        <f t="shared" si="12"/>
        <v>2283.008</v>
      </c>
      <c r="G139" s="448">
        <v>0</v>
      </c>
      <c r="H139" s="498">
        <v>0</v>
      </c>
      <c r="I139" s="448">
        <f t="shared" si="13"/>
        <v>2283.008</v>
      </c>
    </row>
    <row r="140" spans="1:9" s="232" customFormat="1" ht="15" customHeight="1">
      <c r="A140" s="537"/>
      <c r="B140" s="239">
        <v>1</v>
      </c>
      <c r="C140" s="446" t="s">
        <v>242</v>
      </c>
      <c r="D140" s="447">
        <v>264</v>
      </c>
      <c r="E140" s="459">
        <v>20.384</v>
      </c>
      <c r="F140" s="448">
        <f t="shared" si="12"/>
        <v>5381.376</v>
      </c>
      <c r="G140" s="448">
        <v>0</v>
      </c>
      <c r="H140" s="498">
        <v>0</v>
      </c>
      <c r="I140" s="448">
        <f t="shared" si="13"/>
        <v>5381.376</v>
      </c>
    </row>
    <row r="141" spans="1:9" s="232" customFormat="1" ht="15" customHeight="1">
      <c r="A141" s="537"/>
      <c r="B141" s="239">
        <v>1</v>
      </c>
      <c r="C141" s="446" t="s">
        <v>236</v>
      </c>
      <c r="D141" s="447">
        <v>414</v>
      </c>
      <c r="E141" s="459">
        <v>20.384</v>
      </c>
      <c r="F141" s="448">
        <f t="shared" si="12"/>
        <v>8438.976</v>
      </c>
      <c r="G141" s="448">
        <v>0</v>
      </c>
      <c r="H141" s="498">
        <v>0</v>
      </c>
      <c r="I141" s="448">
        <f t="shared" si="13"/>
        <v>8438.976</v>
      </c>
    </row>
    <row r="142" spans="1:9" s="232" customFormat="1" ht="15" customHeight="1">
      <c r="A142" s="537"/>
      <c r="B142" s="239">
        <v>1</v>
      </c>
      <c r="C142" s="446" t="s">
        <v>236</v>
      </c>
      <c r="D142" s="447">
        <v>463</v>
      </c>
      <c r="E142" s="459">
        <v>20.384</v>
      </c>
      <c r="F142" s="448">
        <f t="shared" si="12"/>
        <v>9437.792</v>
      </c>
      <c r="G142" s="448">
        <v>0</v>
      </c>
      <c r="H142" s="498">
        <v>0</v>
      </c>
      <c r="I142" s="448">
        <f t="shared" si="13"/>
        <v>9437.792</v>
      </c>
    </row>
    <row r="143" spans="1:9" s="232" customFormat="1" ht="15" customHeight="1">
      <c r="A143" s="537"/>
      <c r="B143" s="239">
        <v>1</v>
      </c>
      <c r="C143" s="446" t="s">
        <v>236</v>
      </c>
      <c r="D143" s="447">
        <v>267</v>
      </c>
      <c r="E143" s="459">
        <v>20.384</v>
      </c>
      <c r="F143" s="448">
        <f t="shared" si="12"/>
        <v>5442.528</v>
      </c>
      <c r="G143" s="448">
        <v>0</v>
      </c>
      <c r="H143" s="498">
        <v>0</v>
      </c>
      <c r="I143" s="448">
        <f t="shared" si="13"/>
        <v>5442.528</v>
      </c>
    </row>
    <row r="144" spans="1:9" s="201" customFormat="1" ht="15" customHeight="1">
      <c r="A144" s="95" t="s">
        <v>67</v>
      </c>
      <c r="B144" s="182">
        <f>SUM(B116:B143)</f>
        <v>28</v>
      </c>
      <c r="C144" s="107"/>
      <c r="D144" s="183">
        <f>SUM(D116:D143)</f>
        <v>6614.3</v>
      </c>
      <c r="E144" s="195"/>
      <c r="F144" s="184">
        <f>SUM(F115:F143)</f>
        <v>168579.32119999998</v>
      </c>
      <c r="G144" s="184">
        <f>SUM(G116:G143)</f>
        <v>0</v>
      </c>
      <c r="H144" s="200">
        <f>SUM(H116:H143)</f>
        <v>0</v>
      </c>
      <c r="I144" s="184">
        <f>SUM(I115:I143)</f>
        <v>168579.32119999998</v>
      </c>
    </row>
    <row r="145" spans="1:9" s="2" customFormat="1" ht="15" customHeight="1">
      <c r="A145" s="93" t="s">
        <v>25</v>
      </c>
      <c r="B145" s="45"/>
      <c r="C145" s="106"/>
      <c r="D145" s="449"/>
      <c r="E145" s="499"/>
      <c r="F145" s="450"/>
      <c r="G145" s="450"/>
      <c r="H145" s="500"/>
      <c r="I145" s="197"/>
    </row>
    <row r="146" spans="1:9" s="53" customFormat="1" ht="15" customHeight="1">
      <c r="A146" s="350" t="s">
        <v>369</v>
      </c>
      <c r="B146" s="317"/>
      <c r="C146" s="351"/>
      <c r="D146" s="352"/>
      <c r="E146" s="353"/>
      <c r="F146" s="353">
        <v>46224.3</v>
      </c>
      <c r="G146" s="386"/>
      <c r="H146" s="353"/>
      <c r="I146" s="353">
        <v>46224.3</v>
      </c>
    </row>
    <row r="147" spans="1:9" s="232" customFormat="1" ht="15" customHeight="1">
      <c r="A147" s="537"/>
      <c r="B147" s="502">
        <v>1</v>
      </c>
      <c r="C147" s="446" t="s">
        <v>242</v>
      </c>
      <c r="D147" s="452">
        <v>168</v>
      </c>
      <c r="E147" s="459">
        <v>20.384</v>
      </c>
      <c r="F147" s="448">
        <f aca="true" t="shared" si="14" ref="F147:F171">D147*E147</f>
        <v>3424.512</v>
      </c>
      <c r="G147" s="448">
        <v>0</v>
      </c>
      <c r="H147" s="498">
        <v>0</v>
      </c>
      <c r="I147" s="448">
        <f aca="true" t="shared" si="15" ref="I147:I170">F147+G147+H147</f>
        <v>3424.512</v>
      </c>
    </row>
    <row r="148" spans="1:9" s="232" customFormat="1" ht="15" customHeight="1">
      <c r="A148" s="537"/>
      <c r="B148" s="502">
        <v>1</v>
      </c>
      <c r="C148" s="446" t="s">
        <v>242</v>
      </c>
      <c r="D148" s="452">
        <v>690.75</v>
      </c>
      <c r="E148" s="459">
        <v>20.384</v>
      </c>
      <c r="F148" s="448">
        <f t="shared" si="14"/>
        <v>14080.248</v>
      </c>
      <c r="G148" s="448">
        <v>0</v>
      </c>
      <c r="H148" s="498">
        <v>0</v>
      </c>
      <c r="I148" s="448">
        <f t="shared" si="15"/>
        <v>14080.248</v>
      </c>
    </row>
    <row r="149" spans="1:9" s="232" customFormat="1" ht="15" customHeight="1">
      <c r="A149" s="537"/>
      <c r="B149" s="502">
        <v>1</v>
      </c>
      <c r="C149" s="446" t="s">
        <v>236</v>
      </c>
      <c r="D149" s="452">
        <v>225</v>
      </c>
      <c r="E149" s="459">
        <v>20.384</v>
      </c>
      <c r="F149" s="448">
        <f t="shared" si="14"/>
        <v>4586.4</v>
      </c>
      <c r="G149" s="448">
        <v>0</v>
      </c>
      <c r="H149" s="498">
        <v>0</v>
      </c>
      <c r="I149" s="448">
        <f t="shared" si="15"/>
        <v>4586.4</v>
      </c>
    </row>
    <row r="150" spans="1:9" s="232" customFormat="1" ht="15" customHeight="1">
      <c r="A150" s="537"/>
      <c r="B150" s="502">
        <v>1</v>
      </c>
      <c r="C150" s="446" t="s">
        <v>243</v>
      </c>
      <c r="D150" s="452">
        <f>572.75+429</f>
        <v>1001.75</v>
      </c>
      <c r="E150" s="459">
        <v>20.384</v>
      </c>
      <c r="F150" s="448">
        <f t="shared" si="14"/>
        <v>20419.672</v>
      </c>
      <c r="G150" s="448">
        <v>0</v>
      </c>
      <c r="H150" s="498">
        <v>0</v>
      </c>
      <c r="I150" s="448">
        <f t="shared" si="15"/>
        <v>20419.672</v>
      </c>
    </row>
    <row r="151" spans="1:9" s="232" customFormat="1" ht="15" customHeight="1">
      <c r="A151" s="537"/>
      <c r="B151" s="502">
        <v>1</v>
      </c>
      <c r="C151" s="446" t="s">
        <v>236</v>
      </c>
      <c r="D151" s="452">
        <v>200</v>
      </c>
      <c r="E151" s="459">
        <v>20.384</v>
      </c>
      <c r="F151" s="448">
        <f t="shared" si="14"/>
        <v>4076.8</v>
      </c>
      <c r="G151" s="448">
        <v>0</v>
      </c>
      <c r="H151" s="498">
        <v>0</v>
      </c>
      <c r="I151" s="448">
        <f t="shared" si="15"/>
        <v>4076.8</v>
      </c>
    </row>
    <row r="152" spans="1:9" s="232" customFormat="1" ht="15" customHeight="1">
      <c r="A152" s="537"/>
      <c r="B152" s="502">
        <v>1</v>
      </c>
      <c r="C152" s="446" t="s">
        <v>242</v>
      </c>
      <c r="D152" s="452">
        <f>346-44.5-52</f>
        <v>249.5</v>
      </c>
      <c r="E152" s="459">
        <v>20.384</v>
      </c>
      <c r="F152" s="448">
        <f t="shared" si="14"/>
        <v>5085.808</v>
      </c>
      <c r="G152" s="448">
        <v>0</v>
      </c>
      <c r="H152" s="498">
        <v>0</v>
      </c>
      <c r="I152" s="448">
        <f t="shared" si="15"/>
        <v>5085.808</v>
      </c>
    </row>
    <row r="153" spans="1:9" s="232" customFormat="1" ht="15" customHeight="1">
      <c r="A153" s="537"/>
      <c r="B153" s="502">
        <v>1</v>
      </c>
      <c r="C153" s="446" t="s">
        <v>236</v>
      </c>
      <c r="D153" s="452">
        <v>388.75</v>
      </c>
      <c r="E153" s="459">
        <v>20.384</v>
      </c>
      <c r="F153" s="448">
        <f t="shared" si="14"/>
        <v>7924.28</v>
      </c>
      <c r="G153" s="448">
        <v>0</v>
      </c>
      <c r="H153" s="498">
        <v>0</v>
      </c>
      <c r="I153" s="448">
        <f t="shared" si="15"/>
        <v>7924.28</v>
      </c>
    </row>
    <row r="154" spans="1:9" s="232" customFormat="1" ht="15" customHeight="1">
      <c r="A154" s="537"/>
      <c r="B154" s="502">
        <v>1</v>
      </c>
      <c r="C154" s="446" t="s">
        <v>242</v>
      </c>
      <c r="D154" s="452">
        <v>447.25</v>
      </c>
      <c r="E154" s="459">
        <v>20.384</v>
      </c>
      <c r="F154" s="448">
        <f t="shared" si="14"/>
        <v>9116.744</v>
      </c>
      <c r="G154" s="448">
        <v>0</v>
      </c>
      <c r="H154" s="498">
        <v>0</v>
      </c>
      <c r="I154" s="448">
        <f t="shared" si="15"/>
        <v>9116.744</v>
      </c>
    </row>
    <row r="155" spans="1:9" s="232" customFormat="1" ht="15" customHeight="1">
      <c r="A155" s="537"/>
      <c r="B155" s="502">
        <v>1</v>
      </c>
      <c r="C155" s="446" t="s">
        <v>236</v>
      </c>
      <c r="D155" s="452">
        <v>481.75</v>
      </c>
      <c r="E155" s="459">
        <v>20.384</v>
      </c>
      <c r="F155" s="448">
        <f t="shared" si="14"/>
        <v>9819.992</v>
      </c>
      <c r="G155" s="448">
        <v>0</v>
      </c>
      <c r="H155" s="498">
        <v>0</v>
      </c>
      <c r="I155" s="448">
        <f t="shared" si="15"/>
        <v>9819.992</v>
      </c>
    </row>
    <row r="156" spans="1:9" s="232" customFormat="1" ht="15" customHeight="1">
      <c r="A156" s="537"/>
      <c r="B156" s="502">
        <v>1</v>
      </c>
      <c r="C156" s="446" t="s">
        <v>242</v>
      </c>
      <c r="D156" s="452">
        <v>415</v>
      </c>
      <c r="E156" s="459">
        <v>20.384</v>
      </c>
      <c r="F156" s="448">
        <f t="shared" si="14"/>
        <v>8459.36</v>
      </c>
      <c r="G156" s="448">
        <v>0</v>
      </c>
      <c r="H156" s="498">
        <v>0</v>
      </c>
      <c r="I156" s="448">
        <f t="shared" si="15"/>
        <v>8459.36</v>
      </c>
    </row>
    <row r="157" spans="1:9" s="232" customFormat="1" ht="15" customHeight="1">
      <c r="A157" s="537"/>
      <c r="B157" s="502">
        <v>1</v>
      </c>
      <c r="C157" s="446" t="s">
        <v>236</v>
      </c>
      <c r="D157" s="452">
        <v>77</v>
      </c>
      <c r="E157" s="459">
        <v>20.384</v>
      </c>
      <c r="F157" s="448">
        <f t="shared" si="14"/>
        <v>1569.568</v>
      </c>
      <c r="G157" s="448">
        <v>0</v>
      </c>
      <c r="H157" s="498">
        <v>0</v>
      </c>
      <c r="I157" s="448">
        <f t="shared" si="15"/>
        <v>1569.568</v>
      </c>
    </row>
    <row r="158" spans="1:9" s="232" customFormat="1" ht="15" customHeight="1">
      <c r="A158" s="537"/>
      <c r="B158" s="502">
        <v>1</v>
      </c>
      <c r="C158" s="446" t="s">
        <v>242</v>
      </c>
      <c r="D158" s="452">
        <v>769</v>
      </c>
      <c r="E158" s="459">
        <v>20.384</v>
      </c>
      <c r="F158" s="448">
        <f t="shared" si="14"/>
        <v>15675.296</v>
      </c>
      <c r="G158" s="448">
        <v>0</v>
      </c>
      <c r="H158" s="498">
        <v>0</v>
      </c>
      <c r="I158" s="448">
        <f t="shared" si="15"/>
        <v>15675.296</v>
      </c>
    </row>
    <row r="159" spans="1:9" s="232" customFormat="1" ht="15" customHeight="1">
      <c r="A159" s="537"/>
      <c r="B159" s="502">
        <v>1</v>
      </c>
      <c r="C159" s="446" t="s">
        <v>242</v>
      </c>
      <c r="D159" s="452">
        <v>549.5</v>
      </c>
      <c r="E159" s="459">
        <v>20.384</v>
      </c>
      <c r="F159" s="448">
        <f t="shared" si="14"/>
        <v>11201.008</v>
      </c>
      <c r="G159" s="448">
        <v>0</v>
      </c>
      <c r="H159" s="498">
        <v>0</v>
      </c>
      <c r="I159" s="448">
        <f t="shared" si="15"/>
        <v>11201.008</v>
      </c>
    </row>
    <row r="160" spans="1:9" s="232" customFormat="1" ht="15" customHeight="1">
      <c r="A160" s="537"/>
      <c r="B160" s="502">
        <v>1</v>
      </c>
      <c r="C160" s="446" t="s">
        <v>242</v>
      </c>
      <c r="D160" s="452">
        <v>123.5</v>
      </c>
      <c r="E160" s="459">
        <v>20.384</v>
      </c>
      <c r="F160" s="448">
        <f t="shared" si="14"/>
        <v>2517.424</v>
      </c>
      <c r="G160" s="448">
        <v>0</v>
      </c>
      <c r="H160" s="498">
        <v>0</v>
      </c>
      <c r="I160" s="448">
        <f t="shared" si="15"/>
        <v>2517.424</v>
      </c>
    </row>
    <row r="161" spans="1:9" s="232" customFormat="1" ht="15" customHeight="1">
      <c r="A161" s="537"/>
      <c r="B161" s="502">
        <v>1</v>
      </c>
      <c r="C161" s="446" t="s">
        <v>242</v>
      </c>
      <c r="D161" s="452">
        <v>88</v>
      </c>
      <c r="E161" s="459">
        <v>20.384</v>
      </c>
      <c r="F161" s="448">
        <f t="shared" si="14"/>
        <v>1793.792</v>
      </c>
      <c r="G161" s="448">
        <v>0</v>
      </c>
      <c r="H161" s="498">
        <v>0</v>
      </c>
      <c r="I161" s="448">
        <f t="shared" si="15"/>
        <v>1793.792</v>
      </c>
    </row>
    <row r="162" spans="1:9" s="232" customFormat="1" ht="15" customHeight="1">
      <c r="A162" s="537"/>
      <c r="B162" s="502">
        <v>1</v>
      </c>
      <c r="C162" s="446" t="s">
        <v>236</v>
      </c>
      <c r="D162" s="452">
        <v>194</v>
      </c>
      <c r="E162" s="459">
        <v>20.384</v>
      </c>
      <c r="F162" s="448">
        <f t="shared" si="14"/>
        <v>3954.496</v>
      </c>
      <c r="G162" s="448">
        <v>0</v>
      </c>
      <c r="H162" s="498">
        <v>0</v>
      </c>
      <c r="I162" s="448">
        <f t="shared" si="15"/>
        <v>3954.496</v>
      </c>
    </row>
    <row r="163" spans="1:9" s="232" customFormat="1" ht="15" customHeight="1">
      <c r="A163" s="537"/>
      <c r="B163" s="502">
        <v>1</v>
      </c>
      <c r="C163" s="446" t="s">
        <v>236</v>
      </c>
      <c r="D163" s="452">
        <v>204.5</v>
      </c>
      <c r="E163" s="459">
        <v>20.384</v>
      </c>
      <c r="F163" s="448">
        <f t="shared" si="14"/>
        <v>4168.528</v>
      </c>
      <c r="G163" s="448">
        <v>0</v>
      </c>
      <c r="H163" s="498">
        <v>0</v>
      </c>
      <c r="I163" s="448">
        <f t="shared" si="15"/>
        <v>4168.528</v>
      </c>
    </row>
    <row r="164" spans="1:9" s="232" customFormat="1" ht="15" customHeight="1">
      <c r="A164" s="537"/>
      <c r="B164" s="502">
        <v>1</v>
      </c>
      <c r="C164" s="446" t="s">
        <v>236</v>
      </c>
      <c r="D164" s="452">
        <v>325</v>
      </c>
      <c r="E164" s="459">
        <v>20.384</v>
      </c>
      <c r="F164" s="448">
        <f t="shared" si="14"/>
        <v>6624.8</v>
      </c>
      <c r="G164" s="448">
        <v>0</v>
      </c>
      <c r="H164" s="498">
        <v>0</v>
      </c>
      <c r="I164" s="448">
        <f t="shared" si="15"/>
        <v>6624.8</v>
      </c>
    </row>
    <row r="165" spans="1:9" s="232" customFormat="1" ht="15" customHeight="1">
      <c r="A165" s="537"/>
      <c r="B165" s="502">
        <v>1</v>
      </c>
      <c r="C165" s="446" t="s">
        <v>236</v>
      </c>
      <c r="D165" s="452">
        <v>178</v>
      </c>
      <c r="E165" s="459">
        <v>20.384</v>
      </c>
      <c r="F165" s="448">
        <f t="shared" si="14"/>
        <v>3628.352</v>
      </c>
      <c r="G165" s="448">
        <v>0</v>
      </c>
      <c r="H165" s="498">
        <v>0</v>
      </c>
      <c r="I165" s="448">
        <f t="shared" si="15"/>
        <v>3628.352</v>
      </c>
    </row>
    <row r="166" spans="1:9" s="232" customFormat="1" ht="15" customHeight="1">
      <c r="A166" s="537"/>
      <c r="B166" s="502">
        <v>1</v>
      </c>
      <c r="C166" s="446" t="s">
        <v>242</v>
      </c>
      <c r="D166" s="452">
        <v>43.5</v>
      </c>
      <c r="E166" s="459">
        <v>20.384</v>
      </c>
      <c r="F166" s="448">
        <f t="shared" si="14"/>
        <v>886.7040000000001</v>
      </c>
      <c r="G166" s="448">
        <v>0</v>
      </c>
      <c r="H166" s="498">
        <v>0</v>
      </c>
      <c r="I166" s="448">
        <f t="shared" si="15"/>
        <v>886.7040000000001</v>
      </c>
    </row>
    <row r="167" spans="1:9" s="232" customFormat="1" ht="15" customHeight="1">
      <c r="A167" s="537"/>
      <c r="B167" s="502">
        <v>1</v>
      </c>
      <c r="C167" s="446" t="s">
        <v>236</v>
      </c>
      <c r="D167" s="452">
        <v>247</v>
      </c>
      <c r="E167" s="459">
        <v>20.384</v>
      </c>
      <c r="F167" s="448">
        <f t="shared" si="14"/>
        <v>5034.848</v>
      </c>
      <c r="G167" s="448">
        <v>0</v>
      </c>
      <c r="H167" s="498">
        <v>0</v>
      </c>
      <c r="I167" s="448">
        <f t="shared" si="15"/>
        <v>5034.848</v>
      </c>
    </row>
    <row r="168" spans="1:9" s="232" customFormat="1" ht="15" customHeight="1">
      <c r="A168" s="537"/>
      <c r="B168" s="502">
        <v>1</v>
      </c>
      <c r="C168" s="446" t="s">
        <v>242</v>
      </c>
      <c r="D168" s="452">
        <v>197</v>
      </c>
      <c r="E168" s="459">
        <v>20.384</v>
      </c>
      <c r="F168" s="448">
        <f t="shared" si="14"/>
        <v>4015.648</v>
      </c>
      <c r="G168" s="448">
        <v>0</v>
      </c>
      <c r="H168" s="498">
        <v>0</v>
      </c>
      <c r="I168" s="448">
        <f t="shared" si="15"/>
        <v>4015.648</v>
      </c>
    </row>
    <row r="169" spans="1:9" s="232" customFormat="1" ht="15" customHeight="1">
      <c r="A169" s="537"/>
      <c r="B169" s="502">
        <v>1</v>
      </c>
      <c r="C169" s="446" t="s">
        <v>242</v>
      </c>
      <c r="D169" s="452">
        <v>795</v>
      </c>
      <c r="E169" s="459">
        <v>20.384</v>
      </c>
      <c r="F169" s="448">
        <f t="shared" si="14"/>
        <v>16205.28</v>
      </c>
      <c r="G169" s="448">
        <v>0</v>
      </c>
      <c r="H169" s="498">
        <v>0</v>
      </c>
      <c r="I169" s="448">
        <f t="shared" si="15"/>
        <v>16205.28</v>
      </c>
    </row>
    <row r="170" spans="1:9" s="232" customFormat="1" ht="15" customHeight="1">
      <c r="A170" s="537"/>
      <c r="B170" s="502">
        <v>1</v>
      </c>
      <c r="C170" s="446" t="s">
        <v>236</v>
      </c>
      <c r="D170" s="452">
        <v>226</v>
      </c>
      <c r="E170" s="459">
        <v>20.384</v>
      </c>
      <c r="F170" s="448">
        <f t="shared" si="14"/>
        <v>4606.784</v>
      </c>
      <c r="G170" s="448">
        <v>0</v>
      </c>
      <c r="H170" s="498">
        <v>0</v>
      </c>
      <c r="I170" s="448">
        <f t="shared" si="15"/>
        <v>4606.784</v>
      </c>
    </row>
    <row r="171" spans="1:9" s="232" customFormat="1" ht="15" customHeight="1">
      <c r="A171" s="537"/>
      <c r="B171" s="502">
        <v>1</v>
      </c>
      <c r="C171" s="446" t="s">
        <v>236</v>
      </c>
      <c r="D171" s="452">
        <v>266</v>
      </c>
      <c r="E171" s="459">
        <v>20.384</v>
      </c>
      <c r="F171" s="448">
        <f t="shared" si="14"/>
        <v>5422.144</v>
      </c>
      <c r="G171" s="448">
        <v>0</v>
      </c>
      <c r="H171" s="498">
        <v>0</v>
      </c>
      <c r="I171" s="448">
        <f>F171+G171+H171-5.788</f>
        <v>5416.356000000001</v>
      </c>
    </row>
    <row r="172" spans="1:9" s="201" customFormat="1" ht="15" customHeight="1">
      <c r="A172" s="95" t="s">
        <v>174</v>
      </c>
      <c r="B172" s="182">
        <f>SUM(B147:B171)</f>
        <v>25</v>
      </c>
      <c r="C172" s="107"/>
      <c r="D172" s="183">
        <f>SUM(D147:D171)</f>
        <v>8550.75</v>
      </c>
      <c r="E172" s="195"/>
      <c r="F172" s="184">
        <f>SUM(F146:F171)</f>
        <v>220522.78800000003</v>
      </c>
      <c r="G172" s="184">
        <f>SUM(G147:G171)</f>
        <v>0</v>
      </c>
      <c r="H172" s="200">
        <f>SUM(H147:H171)</f>
        <v>0</v>
      </c>
      <c r="I172" s="184">
        <f>SUM(I146:I171)</f>
        <v>220517.00000000003</v>
      </c>
    </row>
    <row r="173" spans="1:9" s="2" customFormat="1" ht="15" customHeight="1">
      <c r="A173" s="93" t="s">
        <v>29</v>
      </c>
      <c r="B173" s="45"/>
      <c r="C173" s="106"/>
      <c r="D173" s="449"/>
      <c r="E173" s="499"/>
      <c r="F173" s="450"/>
      <c r="G173" s="450"/>
      <c r="H173" s="500"/>
      <c r="I173" s="197"/>
    </row>
    <row r="174" spans="1:9" s="53" customFormat="1" ht="15" customHeight="1">
      <c r="A174" s="350" t="s">
        <v>369</v>
      </c>
      <c r="B174" s="317"/>
      <c r="C174" s="351"/>
      <c r="D174" s="352"/>
      <c r="E174" s="353"/>
      <c r="F174" s="353">
        <v>23948.79</v>
      </c>
      <c r="G174" s="386"/>
      <c r="H174" s="353"/>
      <c r="I174" s="353">
        <v>23948.79</v>
      </c>
    </row>
    <row r="175" spans="1:9" s="224" customFormat="1" ht="15" customHeight="1">
      <c r="A175" s="537"/>
      <c r="B175" s="451">
        <v>1</v>
      </c>
      <c r="C175" s="446" t="s">
        <v>236</v>
      </c>
      <c r="D175" s="452">
        <v>225</v>
      </c>
      <c r="E175" s="459">
        <v>20.384</v>
      </c>
      <c r="F175" s="448">
        <f aca="true" t="shared" si="16" ref="F175:F194">D175*E175</f>
        <v>4586.4</v>
      </c>
      <c r="G175" s="448">
        <v>0</v>
      </c>
      <c r="H175" s="498">
        <v>0</v>
      </c>
      <c r="I175" s="448">
        <f aca="true" t="shared" si="17" ref="I175:I188">F175+G175+H175</f>
        <v>4586.4</v>
      </c>
    </row>
    <row r="176" spans="1:9" s="224" customFormat="1" ht="15" customHeight="1">
      <c r="A176" s="537"/>
      <c r="B176" s="451">
        <v>1</v>
      </c>
      <c r="C176" s="446" t="s">
        <v>242</v>
      </c>
      <c r="D176" s="452">
        <v>178.5</v>
      </c>
      <c r="E176" s="459">
        <v>20.384</v>
      </c>
      <c r="F176" s="448">
        <f t="shared" si="16"/>
        <v>3638.544</v>
      </c>
      <c r="G176" s="448">
        <v>0</v>
      </c>
      <c r="H176" s="498">
        <v>0</v>
      </c>
      <c r="I176" s="448">
        <f t="shared" si="17"/>
        <v>3638.544</v>
      </c>
    </row>
    <row r="177" spans="1:9" s="224" customFormat="1" ht="15" customHeight="1">
      <c r="A177" s="537"/>
      <c r="B177" s="451">
        <v>1</v>
      </c>
      <c r="C177" s="446" t="s">
        <v>242</v>
      </c>
      <c r="D177" s="452">
        <v>119</v>
      </c>
      <c r="E177" s="459">
        <v>20.384</v>
      </c>
      <c r="F177" s="448">
        <f t="shared" si="16"/>
        <v>2425.696</v>
      </c>
      <c r="G177" s="448">
        <v>0</v>
      </c>
      <c r="H177" s="498">
        <v>0</v>
      </c>
      <c r="I177" s="448">
        <f t="shared" si="17"/>
        <v>2425.696</v>
      </c>
    </row>
    <row r="178" spans="1:9" s="224" customFormat="1" ht="15" customHeight="1">
      <c r="A178" s="537"/>
      <c r="B178" s="451">
        <v>1</v>
      </c>
      <c r="C178" s="446" t="s">
        <v>236</v>
      </c>
      <c r="D178" s="452">
        <v>135</v>
      </c>
      <c r="E178" s="459">
        <v>20.384</v>
      </c>
      <c r="F178" s="448">
        <f t="shared" si="16"/>
        <v>2751.84</v>
      </c>
      <c r="G178" s="448">
        <v>0</v>
      </c>
      <c r="H178" s="498">
        <v>0</v>
      </c>
      <c r="I178" s="448">
        <f t="shared" si="17"/>
        <v>2751.84</v>
      </c>
    </row>
    <row r="179" spans="1:9" s="224" customFormat="1" ht="15" customHeight="1">
      <c r="A179" s="537"/>
      <c r="B179" s="451">
        <v>1</v>
      </c>
      <c r="C179" s="446" t="s">
        <v>236</v>
      </c>
      <c r="D179" s="452">
        <v>136</v>
      </c>
      <c r="E179" s="459">
        <v>20.384</v>
      </c>
      <c r="F179" s="448">
        <f t="shared" si="16"/>
        <v>2772.224</v>
      </c>
      <c r="G179" s="448">
        <v>0</v>
      </c>
      <c r="H179" s="498">
        <v>0</v>
      </c>
      <c r="I179" s="448">
        <f t="shared" si="17"/>
        <v>2772.224</v>
      </c>
    </row>
    <row r="180" spans="1:9" s="224" customFormat="1" ht="15" customHeight="1">
      <c r="A180" s="537"/>
      <c r="B180" s="451">
        <v>1</v>
      </c>
      <c r="C180" s="446" t="s">
        <v>236</v>
      </c>
      <c r="D180" s="452">
        <v>374.5</v>
      </c>
      <c r="E180" s="459">
        <v>20.384</v>
      </c>
      <c r="F180" s="448">
        <f t="shared" si="16"/>
        <v>7633.808</v>
      </c>
      <c r="G180" s="448">
        <v>0</v>
      </c>
      <c r="H180" s="498">
        <v>0</v>
      </c>
      <c r="I180" s="448">
        <f t="shared" si="17"/>
        <v>7633.808</v>
      </c>
    </row>
    <row r="181" spans="1:9" s="224" customFormat="1" ht="15" customHeight="1">
      <c r="A181" s="537"/>
      <c r="B181" s="451">
        <v>1</v>
      </c>
      <c r="C181" s="446" t="s">
        <v>236</v>
      </c>
      <c r="D181" s="452">
        <v>488</v>
      </c>
      <c r="E181" s="459">
        <v>20.384</v>
      </c>
      <c r="F181" s="448">
        <f t="shared" si="16"/>
        <v>9947.392</v>
      </c>
      <c r="G181" s="448">
        <v>0</v>
      </c>
      <c r="H181" s="498">
        <v>0</v>
      </c>
      <c r="I181" s="448">
        <f t="shared" si="17"/>
        <v>9947.392</v>
      </c>
    </row>
    <row r="182" spans="1:9" s="224" customFormat="1" ht="15" customHeight="1">
      <c r="A182" s="537"/>
      <c r="B182" s="451">
        <v>1</v>
      </c>
      <c r="C182" s="446" t="s">
        <v>242</v>
      </c>
      <c r="D182" s="452">
        <v>438.5</v>
      </c>
      <c r="E182" s="459">
        <v>20.384</v>
      </c>
      <c r="F182" s="448">
        <f t="shared" si="16"/>
        <v>8938.384</v>
      </c>
      <c r="G182" s="448">
        <v>0</v>
      </c>
      <c r="H182" s="498">
        <v>0</v>
      </c>
      <c r="I182" s="448">
        <f t="shared" si="17"/>
        <v>8938.384</v>
      </c>
    </row>
    <row r="183" spans="1:9" s="224" customFormat="1" ht="15" customHeight="1">
      <c r="A183" s="537"/>
      <c r="B183" s="451">
        <v>1</v>
      </c>
      <c r="C183" s="446" t="s">
        <v>236</v>
      </c>
      <c r="D183" s="452">
        <v>208</v>
      </c>
      <c r="E183" s="459">
        <v>20.384</v>
      </c>
      <c r="F183" s="448">
        <f t="shared" si="16"/>
        <v>4239.872</v>
      </c>
      <c r="G183" s="448">
        <v>0</v>
      </c>
      <c r="H183" s="498">
        <v>0</v>
      </c>
      <c r="I183" s="448">
        <f t="shared" si="17"/>
        <v>4239.872</v>
      </c>
    </row>
    <row r="184" spans="1:9" s="224" customFormat="1" ht="15" customHeight="1">
      <c r="A184" s="537"/>
      <c r="B184" s="451">
        <v>1</v>
      </c>
      <c r="C184" s="446" t="s">
        <v>242</v>
      </c>
      <c r="D184" s="452">
        <v>230</v>
      </c>
      <c r="E184" s="459">
        <v>20.384</v>
      </c>
      <c r="F184" s="448">
        <f t="shared" si="16"/>
        <v>4688.32</v>
      </c>
      <c r="G184" s="448">
        <v>0</v>
      </c>
      <c r="H184" s="498">
        <v>0</v>
      </c>
      <c r="I184" s="448">
        <f t="shared" si="17"/>
        <v>4688.32</v>
      </c>
    </row>
    <row r="185" spans="1:9" s="224" customFormat="1" ht="15" customHeight="1">
      <c r="A185" s="537"/>
      <c r="B185" s="451">
        <v>1</v>
      </c>
      <c r="C185" s="446" t="s">
        <v>242</v>
      </c>
      <c r="D185" s="452">
        <v>90.5</v>
      </c>
      <c r="E185" s="459">
        <v>20.384</v>
      </c>
      <c r="F185" s="448">
        <f t="shared" si="16"/>
        <v>1844.752</v>
      </c>
      <c r="G185" s="448">
        <v>0</v>
      </c>
      <c r="H185" s="498">
        <v>0</v>
      </c>
      <c r="I185" s="448">
        <f t="shared" si="17"/>
        <v>1844.752</v>
      </c>
    </row>
    <row r="186" spans="1:9" s="224" customFormat="1" ht="15" customHeight="1">
      <c r="A186" s="537"/>
      <c r="B186" s="451">
        <v>1</v>
      </c>
      <c r="C186" s="446" t="s">
        <v>236</v>
      </c>
      <c r="D186" s="452">
        <v>493</v>
      </c>
      <c r="E186" s="459">
        <v>20.384</v>
      </c>
      <c r="F186" s="448">
        <f t="shared" si="16"/>
        <v>10049.312</v>
      </c>
      <c r="G186" s="448">
        <v>0</v>
      </c>
      <c r="H186" s="498">
        <v>0</v>
      </c>
      <c r="I186" s="448">
        <f t="shared" si="17"/>
        <v>10049.312</v>
      </c>
    </row>
    <row r="187" spans="1:9" s="224" customFormat="1" ht="15" customHeight="1">
      <c r="A187" s="537"/>
      <c r="B187" s="451">
        <v>1</v>
      </c>
      <c r="C187" s="446" t="s">
        <v>236</v>
      </c>
      <c r="D187" s="452">
        <v>192</v>
      </c>
      <c r="E187" s="459">
        <v>20.384</v>
      </c>
      <c r="F187" s="448">
        <f t="shared" si="16"/>
        <v>3913.728</v>
      </c>
      <c r="G187" s="448">
        <v>0</v>
      </c>
      <c r="H187" s="498">
        <v>0</v>
      </c>
      <c r="I187" s="448">
        <f t="shared" si="17"/>
        <v>3913.728</v>
      </c>
    </row>
    <row r="188" spans="1:9" s="224" customFormat="1" ht="15" customHeight="1">
      <c r="A188" s="537"/>
      <c r="B188" s="451">
        <v>1</v>
      </c>
      <c r="C188" s="446" t="s">
        <v>242</v>
      </c>
      <c r="D188" s="452">
        <v>129</v>
      </c>
      <c r="E188" s="459">
        <v>20.384</v>
      </c>
      <c r="F188" s="448">
        <f t="shared" si="16"/>
        <v>2629.536</v>
      </c>
      <c r="G188" s="448">
        <v>0</v>
      </c>
      <c r="H188" s="498">
        <v>0</v>
      </c>
      <c r="I188" s="448">
        <f t="shared" si="17"/>
        <v>2629.536</v>
      </c>
    </row>
    <row r="189" spans="1:9" s="224" customFormat="1" ht="15" customHeight="1">
      <c r="A189" s="537"/>
      <c r="B189" s="451">
        <v>1</v>
      </c>
      <c r="C189" s="446" t="s">
        <v>242</v>
      </c>
      <c r="D189" s="452">
        <v>153.25</v>
      </c>
      <c r="E189" s="459">
        <v>20.384</v>
      </c>
      <c r="F189" s="448">
        <f t="shared" si="16"/>
        <v>3123.848</v>
      </c>
      <c r="G189" s="448">
        <v>0</v>
      </c>
      <c r="H189" s="498">
        <v>0</v>
      </c>
      <c r="I189" s="448">
        <f aca="true" t="shared" si="18" ref="I189:I194">F189+G189+H189</f>
        <v>3123.848</v>
      </c>
    </row>
    <row r="190" spans="1:9" s="224" customFormat="1" ht="15" customHeight="1">
      <c r="A190" s="537"/>
      <c r="B190" s="451">
        <v>1</v>
      </c>
      <c r="C190" s="446" t="s">
        <v>242</v>
      </c>
      <c r="D190" s="452">
        <v>365</v>
      </c>
      <c r="E190" s="459">
        <v>20.384</v>
      </c>
      <c r="F190" s="448">
        <f t="shared" si="16"/>
        <v>7440.16</v>
      </c>
      <c r="G190" s="448">
        <v>0</v>
      </c>
      <c r="H190" s="498">
        <v>0</v>
      </c>
      <c r="I190" s="448">
        <f t="shared" si="18"/>
        <v>7440.16</v>
      </c>
    </row>
    <row r="191" spans="1:9" s="224" customFormat="1" ht="15" customHeight="1">
      <c r="A191" s="537"/>
      <c r="B191" s="451">
        <v>1</v>
      </c>
      <c r="C191" s="446" t="s">
        <v>242</v>
      </c>
      <c r="D191" s="452">
        <v>162</v>
      </c>
      <c r="E191" s="459">
        <v>20.384</v>
      </c>
      <c r="F191" s="448">
        <f t="shared" si="16"/>
        <v>3302.208</v>
      </c>
      <c r="G191" s="448">
        <v>0</v>
      </c>
      <c r="H191" s="498">
        <v>0</v>
      </c>
      <c r="I191" s="448">
        <f t="shared" si="18"/>
        <v>3302.208</v>
      </c>
    </row>
    <row r="192" spans="1:9" s="224" customFormat="1" ht="15" customHeight="1">
      <c r="A192" s="537"/>
      <c r="B192" s="451">
        <v>1</v>
      </c>
      <c r="C192" s="446" t="s">
        <v>236</v>
      </c>
      <c r="D192" s="452">
        <v>283</v>
      </c>
      <c r="E192" s="459">
        <v>20.384</v>
      </c>
      <c r="F192" s="448">
        <f t="shared" si="16"/>
        <v>5768.6720000000005</v>
      </c>
      <c r="G192" s="448">
        <v>0</v>
      </c>
      <c r="H192" s="498">
        <v>0</v>
      </c>
      <c r="I192" s="448">
        <f t="shared" si="18"/>
        <v>5768.6720000000005</v>
      </c>
    </row>
    <row r="193" spans="1:9" s="232" customFormat="1" ht="15" customHeight="1">
      <c r="A193" s="537"/>
      <c r="B193" s="451">
        <v>1</v>
      </c>
      <c r="C193" s="446" t="s">
        <v>242</v>
      </c>
      <c r="D193" s="452">
        <v>230.25</v>
      </c>
      <c r="E193" s="459">
        <v>20.384</v>
      </c>
      <c r="F193" s="448">
        <f t="shared" si="16"/>
        <v>4693.416</v>
      </c>
      <c r="G193" s="448">
        <v>0</v>
      </c>
      <c r="H193" s="498">
        <v>0</v>
      </c>
      <c r="I193" s="448">
        <f t="shared" si="18"/>
        <v>4693.416</v>
      </c>
    </row>
    <row r="194" spans="1:9" s="232" customFormat="1" ht="15" customHeight="1">
      <c r="A194" s="537"/>
      <c r="B194" s="451">
        <v>1</v>
      </c>
      <c r="C194" s="446" t="s">
        <v>242</v>
      </c>
      <c r="D194" s="452">
        <v>476.5</v>
      </c>
      <c r="E194" s="459">
        <v>20.384</v>
      </c>
      <c r="F194" s="448">
        <f t="shared" si="16"/>
        <v>9712.976</v>
      </c>
      <c r="G194" s="448">
        <v>0</v>
      </c>
      <c r="H194" s="498">
        <v>0</v>
      </c>
      <c r="I194" s="448">
        <f t="shared" si="18"/>
        <v>9712.976</v>
      </c>
    </row>
    <row r="195" spans="1:9" s="232" customFormat="1" ht="15" customHeight="1">
      <c r="A195" s="458" t="s">
        <v>113</v>
      </c>
      <c r="B195" s="451"/>
      <c r="C195" s="446" t="s">
        <v>242</v>
      </c>
      <c r="D195" s="452"/>
      <c r="E195" s="459"/>
      <c r="F195" s="448"/>
      <c r="G195" s="448"/>
      <c r="H195" s="498"/>
      <c r="I195" s="448">
        <f>7.57+24.46+29.41</f>
        <v>61.44</v>
      </c>
    </row>
    <row r="196" spans="1:9" s="201" customFormat="1" ht="15" customHeight="1">
      <c r="A196" s="95" t="s">
        <v>213</v>
      </c>
      <c r="B196" s="182">
        <f>SUM(B175:B194)</f>
        <v>20</v>
      </c>
      <c r="C196" s="107"/>
      <c r="D196" s="183">
        <f>SUM(D175:D194)</f>
        <v>5107</v>
      </c>
      <c r="E196" s="195"/>
      <c r="F196" s="184">
        <f>SUM(F174:F194)</f>
        <v>128049.87800000003</v>
      </c>
      <c r="G196" s="184">
        <v>0</v>
      </c>
      <c r="H196" s="200">
        <f>SUM(H167:H194)</f>
        <v>0</v>
      </c>
      <c r="I196" s="184">
        <f>SUM(I174:I195)</f>
        <v>128111.31800000003</v>
      </c>
    </row>
    <row r="197" spans="1:9" s="2" customFormat="1" ht="15" customHeight="1">
      <c r="A197" s="93" t="s">
        <v>30</v>
      </c>
      <c r="B197" s="45"/>
      <c r="C197" s="106"/>
      <c r="D197" s="449"/>
      <c r="E197" s="499"/>
      <c r="F197" s="450"/>
      <c r="G197" s="450"/>
      <c r="H197" s="500"/>
      <c r="I197" s="450"/>
    </row>
    <row r="198" spans="1:9" s="53" customFormat="1" ht="15" customHeight="1">
      <c r="A198" s="350" t="s">
        <v>369</v>
      </c>
      <c r="B198" s="317"/>
      <c r="C198" s="351"/>
      <c r="D198" s="352"/>
      <c r="E198" s="353"/>
      <c r="F198" s="353">
        <v>51738.52</v>
      </c>
      <c r="G198" s="386"/>
      <c r="H198" s="353"/>
      <c r="I198" s="353">
        <v>51738.52</v>
      </c>
    </row>
    <row r="199" spans="1:11" s="116" customFormat="1" ht="15" customHeight="1">
      <c r="A199" s="537"/>
      <c r="B199" s="239">
        <v>1</v>
      </c>
      <c r="C199" s="446" t="s">
        <v>242</v>
      </c>
      <c r="D199" s="447">
        <v>347.5</v>
      </c>
      <c r="E199" s="459">
        <v>20.384</v>
      </c>
      <c r="F199" s="448">
        <f>D199*E199</f>
        <v>7083.4400000000005</v>
      </c>
      <c r="G199" s="448">
        <v>0</v>
      </c>
      <c r="H199" s="498">
        <v>0</v>
      </c>
      <c r="I199" s="448">
        <f>F199+G199+H199</f>
        <v>7083.4400000000005</v>
      </c>
      <c r="K199" s="131"/>
    </row>
    <row r="200" spans="1:11" s="116" customFormat="1" ht="15" customHeight="1">
      <c r="A200" s="537"/>
      <c r="B200" s="239">
        <v>1</v>
      </c>
      <c r="C200" s="446" t="s">
        <v>242</v>
      </c>
      <c r="D200" s="447">
        <f>423-89</f>
        <v>334</v>
      </c>
      <c r="E200" s="459">
        <v>20.384</v>
      </c>
      <c r="F200" s="448">
        <f aca="true" t="shared" si="19" ref="F200:F212">D200*E200</f>
        <v>6808.256</v>
      </c>
      <c r="G200" s="448">
        <v>0</v>
      </c>
      <c r="H200" s="498">
        <v>0</v>
      </c>
      <c r="I200" s="448">
        <f aca="true" t="shared" si="20" ref="I200:I229">F200+G200+H200</f>
        <v>6808.256</v>
      </c>
      <c r="K200" s="131"/>
    </row>
    <row r="201" spans="1:11" s="116" customFormat="1" ht="15" customHeight="1">
      <c r="A201" s="537"/>
      <c r="B201" s="239">
        <v>1</v>
      </c>
      <c r="C201" s="446" t="s">
        <v>242</v>
      </c>
      <c r="D201" s="447">
        <f>283-47</f>
        <v>236</v>
      </c>
      <c r="E201" s="459">
        <v>20.384</v>
      </c>
      <c r="F201" s="448">
        <f t="shared" si="19"/>
        <v>4810.624</v>
      </c>
      <c r="G201" s="448">
        <v>0</v>
      </c>
      <c r="H201" s="498">
        <v>0</v>
      </c>
      <c r="I201" s="448">
        <f t="shared" si="20"/>
        <v>4810.624</v>
      </c>
      <c r="K201" s="131"/>
    </row>
    <row r="202" spans="1:11" s="116" customFormat="1" ht="15" customHeight="1">
      <c r="A202" s="537"/>
      <c r="B202" s="239">
        <v>1</v>
      </c>
      <c r="C202" s="446" t="s">
        <v>242</v>
      </c>
      <c r="D202" s="447">
        <f>587-110</f>
        <v>477</v>
      </c>
      <c r="E202" s="459">
        <v>20.384</v>
      </c>
      <c r="F202" s="448">
        <f t="shared" si="19"/>
        <v>9723.168</v>
      </c>
      <c r="G202" s="448">
        <v>0</v>
      </c>
      <c r="H202" s="498">
        <v>0</v>
      </c>
      <c r="I202" s="448">
        <f t="shared" si="20"/>
        <v>9723.168</v>
      </c>
      <c r="K202" s="131"/>
    </row>
    <row r="203" spans="1:11" s="116" customFormat="1" ht="15" customHeight="1">
      <c r="A203" s="537"/>
      <c r="B203" s="239">
        <v>1</v>
      </c>
      <c r="C203" s="446" t="s">
        <v>242</v>
      </c>
      <c r="D203" s="447">
        <v>118.5</v>
      </c>
      <c r="E203" s="459">
        <v>20.384</v>
      </c>
      <c r="F203" s="448">
        <f t="shared" si="19"/>
        <v>2415.504</v>
      </c>
      <c r="G203" s="448">
        <v>0</v>
      </c>
      <c r="H203" s="498">
        <v>0</v>
      </c>
      <c r="I203" s="448">
        <f t="shared" si="20"/>
        <v>2415.504</v>
      </c>
      <c r="K203" s="131"/>
    </row>
    <row r="204" spans="1:11" s="116" customFormat="1" ht="15" customHeight="1">
      <c r="A204" s="537"/>
      <c r="B204" s="239">
        <v>1</v>
      </c>
      <c r="C204" s="446" t="s">
        <v>242</v>
      </c>
      <c r="D204" s="447">
        <f>607-140</f>
        <v>467</v>
      </c>
      <c r="E204" s="459">
        <v>20.384</v>
      </c>
      <c r="F204" s="448">
        <f t="shared" si="19"/>
        <v>9519.328</v>
      </c>
      <c r="G204" s="448">
        <v>0</v>
      </c>
      <c r="H204" s="498">
        <v>0</v>
      </c>
      <c r="I204" s="448">
        <f t="shared" si="20"/>
        <v>9519.328</v>
      </c>
      <c r="K204" s="131"/>
    </row>
    <row r="205" spans="1:11" s="116" customFormat="1" ht="15" customHeight="1">
      <c r="A205" s="537"/>
      <c r="B205" s="239">
        <v>1</v>
      </c>
      <c r="C205" s="446" t="s">
        <v>242</v>
      </c>
      <c r="D205" s="447">
        <v>131.5</v>
      </c>
      <c r="E205" s="459">
        <v>20.384</v>
      </c>
      <c r="F205" s="448">
        <f t="shared" si="19"/>
        <v>2680.496</v>
      </c>
      <c r="G205" s="448">
        <v>0</v>
      </c>
      <c r="H205" s="498">
        <v>0</v>
      </c>
      <c r="I205" s="448">
        <f t="shared" si="20"/>
        <v>2680.496</v>
      </c>
      <c r="K205" s="131"/>
    </row>
    <row r="206" spans="1:12" s="116" customFormat="1" ht="15" customHeight="1">
      <c r="A206" s="537"/>
      <c r="B206" s="239">
        <v>1</v>
      </c>
      <c r="C206" s="446" t="s">
        <v>242</v>
      </c>
      <c r="D206" s="447">
        <f>342-64</f>
        <v>278</v>
      </c>
      <c r="E206" s="459">
        <v>20.384</v>
      </c>
      <c r="F206" s="448">
        <f t="shared" si="19"/>
        <v>5666.752</v>
      </c>
      <c r="G206" s="448">
        <v>0</v>
      </c>
      <c r="H206" s="498">
        <v>0</v>
      </c>
      <c r="I206" s="448">
        <f t="shared" si="20"/>
        <v>5666.752</v>
      </c>
      <c r="K206" s="131"/>
      <c r="L206" s="131"/>
    </row>
    <row r="207" spans="1:11" s="116" customFormat="1" ht="15" customHeight="1">
      <c r="A207" s="537"/>
      <c r="B207" s="239">
        <v>1</v>
      </c>
      <c r="C207" s="446" t="s">
        <v>242</v>
      </c>
      <c r="D207" s="447">
        <v>132</v>
      </c>
      <c r="E207" s="459">
        <v>20.384</v>
      </c>
      <c r="F207" s="448">
        <f t="shared" si="19"/>
        <v>2690.688</v>
      </c>
      <c r="G207" s="448">
        <v>0</v>
      </c>
      <c r="H207" s="498">
        <v>0</v>
      </c>
      <c r="I207" s="448">
        <f t="shared" si="20"/>
        <v>2690.688</v>
      </c>
      <c r="K207" s="131"/>
    </row>
    <row r="208" spans="1:11" s="116" customFormat="1" ht="15" customHeight="1">
      <c r="A208" s="537"/>
      <c r="B208" s="239">
        <v>1</v>
      </c>
      <c r="C208" s="446" t="s">
        <v>242</v>
      </c>
      <c r="D208" s="447">
        <f>531.75-119</f>
        <v>412.75</v>
      </c>
      <c r="E208" s="459">
        <v>20.384</v>
      </c>
      <c r="F208" s="448">
        <f t="shared" si="19"/>
        <v>8413.496000000001</v>
      </c>
      <c r="G208" s="448">
        <v>0</v>
      </c>
      <c r="H208" s="498">
        <v>0</v>
      </c>
      <c r="I208" s="448">
        <f t="shared" si="20"/>
        <v>8413.496000000001</v>
      </c>
      <c r="K208" s="131"/>
    </row>
    <row r="209" spans="1:11" s="116" customFormat="1" ht="15" customHeight="1">
      <c r="A209" s="537"/>
      <c r="B209" s="239">
        <v>1</v>
      </c>
      <c r="C209" s="446" t="s">
        <v>242</v>
      </c>
      <c r="D209" s="447">
        <f>134-47.5</f>
        <v>86.5</v>
      </c>
      <c r="E209" s="459">
        <v>20.384</v>
      </c>
      <c r="F209" s="448">
        <f t="shared" si="19"/>
        <v>1763.2160000000001</v>
      </c>
      <c r="G209" s="448">
        <v>0</v>
      </c>
      <c r="H209" s="498">
        <v>0</v>
      </c>
      <c r="I209" s="448">
        <f t="shared" si="20"/>
        <v>1763.2160000000001</v>
      </c>
      <c r="K209" s="131"/>
    </row>
    <row r="210" spans="1:11" s="116" customFormat="1" ht="15" customHeight="1">
      <c r="A210" s="537"/>
      <c r="B210" s="239">
        <v>1</v>
      </c>
      <c r="C210" s="446" t="s">
        <v>242</v>
      </c>
      <c r="D210" s="447">
        <f>204-39</f>
        <v>165</v>
      </c>
      <c r="E210" s="459">
        <v>20.384</v>
      </c>
      <c r="F210" s="448">
        <f t="shared" si="19"/>
        <v>3363.36</v>
      </c>
      <c r="G210" s="448">
        <v>0</v>
      </c>
      <c r="H210" s="498">
        <v>0</v>
      </c>
      <c r="I210" s="448">
        <f t="shared" si="20"/>
        <v>3363.36</v>
      </c>
      <c r="K210" s="131"/>
    </row>
    <row r="211" spans="1:11" s="116" customFormat="1" ht="15" customHeight="1">
      <c r="A211" s="537"/>
      <c r="B211" s="239">
        <v>1</v>
      </c>
      <c r="C211" s="446" t="s">
        <v>242</v>
      </c>
      <c r="D211" s="447">
        <f>531.25-115.5</f>
        <v>415.75</v>
      </c>
      <c r="E211" s="459">
        <v>20.384</v>
      </c>
      <c r="F211" s="448">
        <f t="shared" si="19"/>
        <v>8474.648000000001</v>
      </c>
      <c r="G211" s="448">
        <v>0</v>
      </c>
      <c r="H211" s="498">
        <v>0</v>
      </c>
      <c r="I211" s="448">
        <f t="shared" si="20"/>
        <v>8474.648000000001</v>
      </c>
      <c r="K211" s="131"/>
    </row>
    <row r="212" spans="1:11" s="116" customFormat="1" ht="15" customHeight="1">
      <c r="A212" s="537"/>
      <c r="B212" s="239">
        <v>1</v>
      </c>
      <c r="C212" s="446" t="s">
        <v>242</v>
      </c>
      <c r="D212" s="447">
        <v>47.5</v>
      </c>
      <c r="E212" s="459">
        <v>20.384</v>
      </c>
      <c r="F212" s="448">
        <f t="shared" si="19"/>
        <v>968.24</v>
      </c>
      <c r="G212" s="448">
        <v>0</v>
      </c>
      <c r="H212" s="498">
        <v>0</v>
      </c>
      <c r="I212" s="448">
        <f t="shared" si="20"/>
        <v>968.24</v>
      </c>
      <c r="K212" s="131"/>
    </row>
    <row r="213" spans="1:11" s="116" customFormat="1" ht="15" customHeight="1">
      <c r="A213" s="537"/>
      <c r="B213" s="239">
        <v>1</v>
      </c>
      <c r="C213" s="446" t="s">
        <v>209</v>
      </c>
      <c r="D213" s="447"/>
      <c r="E213" s="459">
        <v>768.29</v>
      </c>
      <c r="F213" s="448">
        <f>E213*4</f>
        <v>3073.16</v>
      </c>
      <c r="G213" s="448">
        <v>0</v>
      </c>
      <c r="H213" s="498">
        <v>0</v>
      </c>
      <c r="I213" s="448">
        <f>766.48+768.29+766.48+766.48</f>
        <v>3067.73</v>
      </c>
      <c r="K213" s="131"/>
    </row>
    <row r="214" spans="1:11" s="116" customFormat="1" ht="15" customHeight="1">
      <c r="A214" s="537"/>
      <c r="B214" s="239">
        <v>1</v>
      </c>
      <c r="C214" s="446" t="s">
        <v>242</v>
      </c>
      <c r="D214" s="447">
        <f>237-81</f>
        <v>156</v>
      </c>
      <c r="E214" s="459">
        <v>20.384</v>
      </c>
      <c r="F214" s="448">
        <f aca="true" t="shared" si="21" ref="F214:F223">D214*E214</f>
        <v>3179.904</v>
      </c>
      <c r="G214" s="448">
        <v>0</v>
      </c>
      <c r="H214" s="498">
        <v>0</v>
      </c>
      <c r="I214" s="448">
        <f t="shared" si="20"/>
        <v>3179.904</v>
      </c>
      <c r="K214" s="131"/>
    </row>
    <row r="215" spans="1:11" s="116" customFormat="1" ht="15" customHeight="1">
      <c r="A215" s="537"/>
      <c r="B215" s="239"/>
      <c r="C215" s="446"/>
      <c r="D215" s="447">
        <v>2</v>
      </c>
      <c r="E215" s="459">
        <v>20.384</v>
      </c>
      <c r="F215" s="448">
        <f t="shared" si="21"/>
        <v>40.768</v>
      </c>
      <c r="G215" s="448">
        <v>0</v>
      </c>
      <c r="H215" s="498">
        <v>0</v>
      </c>
      <c r="I215" s="448">
        <f t="shared" si="20"/>
        <v>40.768</v>
      </c>
      <c r="K215" s="131"/>
    </row>
    <row r="216" spans="1:11" s="116" customFormat="1" ht="15" customHeight="1">
      <c r="A216" s="537"/>
      <c r="B216" s="239">
        <v>1</v>
      </c>
      <c r="C216" s="446" t="s">
        <v>242</v>
      </c>
      <c r="D216" s="447">
        <f>537-99</f>
        <v>438</v>
      </c>
      <c r="E216" s="459">
        <v>20.384</v>
      </c>
      <c r="F216" s="448">
        <f t="shared" si="21"/>
        <v>8928.192000000001</v>
      </c>
      <c r="G216" s="448">
        <v>0</v>
      </c>
      <c r="H216" s="498">
        <v>0</v>
      </c>
      <c r="I216" s="448">
        <f t="shared" si="20"/>
        <v>8928.192000000001</v>
      </c>
      <c r="K216" s="131"/>
    </row>
    <row r="217" spans="1:11" s="116" customFormat="1" ht="15" customHeight="1">
      <c r="A217" s="537"/>
      <c r="B217" s="239">
        <v>1</v>
      </c>
      <c r="C217" s="446" t="s">
        <v>242</v>
      </c>
      <c r="D217" s="447">
        <v>309.5</v>
      </c>
      <c r="E217" s="459">
        <v>20.384</v>
      </c>
      <c r="F217" s="448">
        <f t="shared" si="21"/>
        <v>6308.848</v>
      </c>
      <c r="G217" s="448">
        <v>0</v>
      </c>
      <c r="H217" s="498">
        <v>0</v>
      </c>
      <c r="I217" s="448">
        <f t="shared" si="20"/>
        <v>6308.848</v>
      </c>
      <c r="K217" s="131"/>
    </row>
    <row r="218" spans="1:11" s="116" customFormat="1" ht="15" customHeight="1">
      <c r="A218" s="537"/>
      <c r="B218" s="239">
        <v>1</v>
      </c>
      <c r="C218" s="446" t="s">
        <v>242</v>
      </c>
      <c r="D218" s="447">
        <v>543.25</v>
      </c>
      <c r="E218" s="459">
        <v>20.384</v>
      </c>
      <c r="F218" s="448">
        <f t="shared" si="21"/>
        <v>11073.608</v>
      </c>
      <c r="G218" s="448">
        <v>0</v>
      </c>
      <c r="H218" s="498">
        <v>0</v>
      </c>
      <c r="I218" s="448">
        <f t="shared" si="20"/>
        <v>11073.608</v>
      </c>
      <c r="K218" s="131"/>
    </row>
    <row r="219" spans="1:11" s="116" customFormat="1" ht="15" customHeight="1">
      <c r="A219" s="537"/>
      <c r="B219" s="239">
        <v>1</v>
      </c>
      <c r="C219" s="446" t="s">
        <v>242</v>
      </c>
      <c r="D219" s="447">
        <v>495</v>
      </c>
      <c r="E219" s="459">
        <v>20.384</v>
      </c>
      <c r="F219" s="448">
        <f t="shared" si="21"/>
        <v>10090.08</v>
      </c>
      <c r="G219" s="448">
        <v>0</v>
      </c>
      <c r="H219" s="498">
        <v>0</v>
      </c>
      <c r="I219" s="448">
        <f t="shared" si="20"/>
        <v>10090.08</v>
      </c>
      <c r="K219" s="131"/>
    </row>
    <row r="220" spans="1:11" s="116" customFormat="1" ht="15" customHeight="1">
      <c r="A220" s="537"/>
      <c r="B220" s="239">
        <v>1</v>
      </c>
      <c r="C220" s="446" t="s">
        <v>242</v>
      </c>
      <c r="D220" s="447">
        <v>358.75</v>
      </c>
      <c r="E220" s="459">
        <v>20.384</v>
      </c>
      <c r="F220" s="448">
        <f t="shared" si="21"/>
        <v>7312.76</v>
      </c>
      <c r="G220" s="448">
        <v>0</v>
      </c>
      <c r="H220" s="498">
        <v>0</v>
      </c>
      <c r="I220" s="448">
        <f t="shared" si="20"/>
        <v>7312.76</v>
      </c>
      <c r="K220" s="131"/>
    </row>
    <row r="221" spans="1:11" s="116" customFormat="1" ht="15" customHeight="1">
      <c r="A221" s="537"/>
      <c r="B221" s="239">
        <v>1</v>
      </c>
      <c r="C221" s="446" t="s">
        <v>242</v>
      </c>
      <c r="D221" s="447">
        <v>797.75</v>
      </c>
      <c r="E221" s="459">
        <v>20.384</v>
      </c>
      <c r="F221" s="448">
        <f t="shared" si="21"/>
        <v>16261.336000000001</v>
      </c>
      <c r="G221" s="448">
        <v>0</v>
      </c>
      <c r="H221" s="498">
        <v>0</v>
      </c>
      <c r="I221" s="448">
        <f t="shared" si="20"/>
        <v>16261.336000000001</v>
      </c>
      <c r="K221" s="131"/>
    </row>
    <row r="222" spans="1:11" s="116" customFormat="1" ht="15" customHeight="1">
      <c r="A222" s="537"/>
      <c r="B222" s="239">
        <v>1</v>
      </c>
      <c r="C222" s="446" t="s">
        <v>242</v>
      </c>
      <c r="D222" s="447">
        <f>634-123.5</f>
        <v>510.5</v>
      </c>
      <c r="E222" s="459">
        <v>20.384</v>
      </c>
      <c r="F222" s="448">
        <f t="shared" si="21"/>
        <v>10406.032000000001</v>
      </c>
      <c r="G222" s="448">
        <v>0</v>
      </c>
      <c r="H222" s="498">
        <v>0</v>
      </c>
      <c r="I222" s="448">
        <f t="shared" si="20"/>
        <v>10406.032000000001</v>
      </c>
      <c r="K222" s="131"/>
    </row>
    <row r="223" spans="1:11" s="116" customFormat="1" ht="15" customHeight="1">
      <c r="A223" s="537"/>
      <c r="B223" s="239">
        <v>1</v>
      </c>
      <c r="C223" s="446" t="s">
        <v>242</v>
      </c>
      <c r="D223" s="447">
        <v>240</v>
      </c>
      <c r="E223" s="459">
        <v>20.384</v>
      </c>
      <c r="F223" s="448">
        <f t="shared" si="21"/>
        <v>4892.16</v>
      </c>
      <c r="G223" s="448">
        <v>0</v>
      </c>
      <c r="H223" s="498">
        <v>0</v>
      </c>
      <c r="I223" s="448">
        <f t="shared" si="20"/>
        <v>4892.16</v>
      </c>
      <c r="K223" s="131"/>
    </row>
    <row r="224" spans="1:11" s="116" customFormat="1" ht="15" customHeight="1">
      <c r="A224" s="537"/>
      <c r="B224" s="239">
        <v>1</v>
      </c>
      <c r="C224" s="446" t="s">
        <v>242</v>
      </c>
      <c r="D224" s="447">
        <f>573.25-146.25</f>
        <v>427</v>
      </c>
      <c r="E224" s="459">
        <v>20.384</v>
      </c>
      <c r="F224" s="448">
        <f aca="true" t="shared" si="22" ref="F224:F229">D224*E224</f>
        <v>8703.968</v>
      </c>
      <c r="G224" s="448">
        <v>0</v>
      </c>
      <c r="H224" s="498">
        <v>0</v>
      </c>
      <c r="I224" s="448">
        <f t="shared" si="20"/>
        <v>8703.968</v>
      </c>
      <c r="K224" s="131"/>
    </row>
    <row r="225" spans="1:11" s="116" customFormat="1" ht="15" customHeight="1">
      <c r="A225" s="537"/>
      <c r="B225" s="239">
        <v>1</v>
      </c>
      <c r="C225" s="446" t="s">
        <v>242</v>
      </c>
      <c r="D225" s="447">
        <v>241.5</v>
      </c>
      <c r="E225" s="459">
        <v>20.384</v>
      </c>
      <c r="F225" s="448">
        <f t="shared" si="22"/>
        <v>4922.736</v>
      </c>
      <c r="G225" s="448">
        <v>0</v>
      </c>
      <c r="H225" s="498">
        <v>0</v>
      </c>
      <c r="I225" s="448">
        <f t="shared" si="20"/>
        <v>4922.736</v>
      </c>
      <c r="K225" s="131"/>
    </row>
    <row r="226" spans="1:11" s="116" customFormat="1" ht="15" customHeight="1">
      <c r="A226" s="537"/>
      <c r="B226" s="239">
        <v>1</v>
      </c>
      <c r="C226" s="446" t="s">
        <v>242</v>
      </c>
      <c r="D226" s="447">
        <f>344-79</f>
        <v>265</v>
      </c>
      <c r="E226" s="459">
        <v>20.384</v>
      </c>
      <c r="F226" s="448">
        <f t="shared" si="22"/>
        <v>5401.76</v>
      </c>
      <c r="G226" s="448">
        <v>0</v>
      </c>
      <c r="H226" s="498">
        <v>0</v>
      </c>
      <c r="I226" s="448">
        <f t="shared" si="20"/>
        <v>5401.76</v>
      </c>
      <c r="K226" s="131"/>
    </row>
    <row r="227" spans="1:11" s="116" customFormat="1" ht="15" customHeight="1">
      <c r="A227" s="537"/>
      <c r="B227" s="239">
        <v>1</v>
      </c>
      <c r="C227" s="446" t="s">
        <v>242</v>
      </c>
      <c r="D227" s="447">
        <f>367-60</f>
        <v>307</v>
      </c>
      <c r="E227" s="459">
        <v>20.384</v>
      </c>
      <c r="F227" s="448">
        <f t="shared" si="22"/>
        <v>6257.888</v>
      </c>
      <c r="G227" s="448">
        <v>0</v>
      </c>
      <c r="H227" s="498">
        <v>0</v>
      </c>
      <c r="I227" s="448">
        <f t="shared" si="20"/>
        <v>6257.888</v>
      </c>
      <c r="K227" s="131"/>
    </row>
    <row r="228" spans="1:11" s="116" customFormat="1" ht="15" customHeight="1">
      <c r="A228" s="537"/>
      <c r="B228" s="239">
        <v>1</v>
      </c>
      <c r="C228" s="446" t="s">
        <v>242</v>
      </c>
      <c r="D228" s="447">
        <v>182.5</v>
      </c>
      <c r="E228" s="459">
        <v>20.384</v>
      </c>
      <c r="F228" s="448">
        <f t="shared" si="22"/>
        <v>3720.08</v>
      </c>
      <c r="G228" s="448">
        <v>0</v>
      </c>
      <c r="H228" s="498">
        <v>0</v>
      </c>
      <c r="I228" s="448">
        <f t="shared" si="20"/>
        <v>3720.08</v>
      </c>
      <c r="K228" s="131"/>
    </row>
    <row r="229" spans="1:11" s="116" customFormat="1" ht="15" customHeight="1">
      <c r="A229" s="537"/>
      <c r="B229" s="239"/>
      <c r="C229" s="446" t="s">
        <v>242</v>
      </c>
      <c r="D229" s="447">
        <v>135</v>
      </c>
      <c r="E229" s="459">
        <v>20.384</v>
      </c>
      <c r="F229" s="448">
        <f t="shared" si="22"/>
        <v>2751.84</v>
      </c>
      <c r="G229" s="448">
        <v>0</v>
      </c>
      <c r="H229" s="498">
        <v>0</v>
      </c>
      <c r="I229" s="448">
        <f t="shared" si="20"/>
        <v>2751.84</v>
      </c>
      <c r="K229" s="131"/>
    </row>
    <row r="230" spans="1:11" s="116" customFormat="1" ht="15" customHeight="1">
      <c r="A230" s="537"/>
      <c r="B230" s="239">
        <v>1</v>
      </c>
      <c r="C230" s="446" t="s">
        <v>92</v>
      </c>
      <c r="D230" s="447"/>
      <c r="E230" s="459">
        <v>639.6</v>
      </c>
      <c r="F230" s="448">
        <v>4878.64</v>
      </c>
      <c r="G230" s="448">
        <v>0</v>
      </c>
      <c r="H230" s="498">
        <v>0</v>
      </c>
      <c r="I230" s="448">
        <f>1993.68+2132+752.96</f>
        <v>4878.64</v>
      </c>
      <c r="K230" s="131"/>
    </row>
    <row r="231" spans="1:11" s="116" customFormat="1" ht="15" customHeight="1">
      <c r="A231" s="537"/>
      <c r="B231" s="239">
        <v>1</v>
      </c>
      <c r="C231" s="446" t="s">
        <v>94</v>
      </c>
      <c r="D231" s="447"/>
      <c r="E231" s="459">
        <v>243.36</v>
      </c>
      <c r="F231" s="448">
        <v>2920.32</v>
      </c>
      <c r="G231" s="448">
        <v>0</v>
      </c>
      <c r="H231" s="498">
        <v>0</v>
      </c>
      <c r="I231" s="448">
        <f>973.44*3</f>
        <v>2920.32</v>
      </c>
      <c r="K231" s="131"/>
    </row>
    <row r="232" spans="1:11" s="116" customFormat="1" ht="15" customHeight="1">
      <c r="A232" s="537"/>
      <c r="B232" s="239">
        <v>1</v>
      </c>
      <c r="C232" s="446" t="s">
        <v>242</v>
      </c>
      <c r="D232" s="447">
        <f>375.5-89.5</f>
        <v>286</v>
      </c>
      <c r="E232" s="459">
        <v>20.384</v>
      </c>
      <c r="F232" s="448">
        <f>D232*E232</f>
        <v>5829.8240000000005</v>
      </c>
      <c r="G232" s="448">
        <v>0</v>
      </c>
      <c r="H232" s="498">
        <v>0</v>
      </c>
      <c r="I232" s="448">
        <f>F232+G232+H232</f>
        <v>5829.8240000000005</v>
      </c>
      <c r="K232" s="131"/>
    </row>
    <row r="233" spans="1:9" s="232" customFormat="1" ht="15" customHeight="1">
      <c r="A233" s="537"/>
      <c r="B233" s="239">
        <v>1</v>
      </c>
      <c r="C233" s="446" t="s">
        <v>242</v>
      </c>
      <c r="D233" s="447">
        <v>306.75</v>
      </c>
      <c r="E233" s="459">
        <v>20.384</v>
      </c>
      <c r="F233" s="448">
        <f>D233*E233</f>
        <v>6252.792</v>
      </c>
      <c r="G233" s="448">
        <v>0</v>
      </c>
      <c r="H233" s="498">
        <v>0</v>
      </c>
      <c r="I233" s="448">
        <f>F233+G233+H233</f>
        <v>6252.792</v>
      </c>
    </row>
    <row r="234" spans="1:9" s="232" customFormat="1" ht="15" customHeight="1">
      <c r="A234" s="537"/>
      <c r="B234" s="239">
        <v>1</v>
      </c>
      <c r="C234" s="446" t="s">
        <v>242</v>
      </c>
      <c r="D234" s="447">
        <f>537.75-151.25</f>
        <v>386.5</v>
      </c>
      <c r="E234" s="459">
        <v>20.384</v>
      </c>
      <c r="F234" s="448">
        <f>D234*E234</f>
        <v>7878.416</v>
      </c>
      <c r="G234" s="448">
        <v>0</v>
      </c>
      <c r="H234" s="498">
        <v>0</v>
      </c>
      <c r="I234" s="448">
        <f>F234+G234+H234</f>
        <v>7878.416</v>
      </c>
    </row>
    <row r="235" spans="1:9" s="232" customFormat="1" ht="15" customHeight="1">
      <c r="A235" s="537"/>
      <c r="B235" s="239">
        <v>1</v>
      </c>
      <c r="C235" s="446" t="s">
        <v>242</v>
      </c>
      <c r="D235" s="447">
        <f>406.75-82</f>
        <v>324.75</v>
      </c>
      <c r="E235" s="459">
        <v>20.384</v>
      </c>
      <c r="F235" s="448">
        <f>D235*E235</f>
        <v>6619.704</v>
      </c>
      <c r="G235" s="448">
        <v>0</v>
      </c>
      <c r="H235" s="498">
        <v>0</v>
      </c>
      <c r="I235" s="448">
        <f>F235+G235+H235</f>
        <v>6619.704</v>
      </c>
    </row>
    <row r="236" spans="1:9" s="73" customFormat="1" ht="15" customHeight="1">
      <c r="A236" s="442" t="s">
        <v>208</v>
      </c>
      <c r="B236" s="300">
        <v>1</v>
      </c>
      <c r="C236" s="300" t="s">
        <v>242</v>
      </c>
      <c r="D236" s="353"/>
      <c r="E236" s="503"/>
      <c r="F236" s="503"/>
      <c r="G236" s="503"/>
      <c r="H236" s="503"/>
      <c r="I236" s="504">
        <v>1229.77</v>
      </c>
    </row>
    <row r="237" spans="1:10" s="201" customFormat="1" ht="15" customHeight="1">
      <c r="A237" s="256" t="s">
        <v>175</v>
      </c>
      <c r="B237" s="257">
        <f>SUM(B201:B235)</f>
        <v>33</v>
      </c>
      <c r="C237" s="258"/>
      <c r="D237" s="259">
        <f>SUM(D199:D235)</f>
        <v>10361.75</v>
      </c>
      <c r="E237" s="260"/>
      <c r="F237" s="261">
        <f>SUM(F198:F236)</f>
        <v>273824.5520000001</v>
      </c>
      <c r="G237" s="261"/>
      <c r="H237" s="262"/>
      <c r="I237" s="261">
        <f>SUM(I198:I236)</f>
        <v>275048.8920000001</v>
      </c>
      <c r="J237" s="201">
        <f>I237-277842.89</f>
        <v>-2793.997999999905</v>
      </c>
    </row>
    <row r="238" spans="1:9" s="2" customFormat="1" ht="15" customHeight="1">
      <c r="A238" s="93" t="s">
        <v>31</v>
      </c>
      <c r="B238" s="45"/>
      <c r="C238" s="106"/>
      <c r="D238" s="449"/>
      <c r="E238" s="499"/>
      <c r="F238" s="450"/>
      <c r="G238" s="450"/>
      <c r="H238" s="500"/>
      <c r="I238" s="450"/>
    </row>
    <row r="239" spans="1:9" s="53" customFormat="1" ht="15" customHeight="1">
      <c r="A239" s="350" t="s">
        <v>369</v>
      </c>
      <c r="B239" s="317"/>
      <c r="C239" s="351"/>
      <c r="D239" s="352"/>
      <c r="E239" s="353"/>
      <c r="F239" s="353">
        <v>4413.24</v>
      </c>
      <c r="G239" s="386"/>
      <c r="H239" s="353"/>
      <c r="I239" s="353">
        <v>4413.24</v>
      </c>
    </row>
    <row r="240" spans="1:9" s="116" customFormat="1" ht="15" customHeight="1">
      <c r="A240" s="537"/>
      <c r="B240" s="239">
        <v>1</v>
      </c>
      <c r="C240" s="446" t="s">
        <v>242</v>
      </c>
      <c r="D240" s="447">
        <v>188</v>
      </c>
      <c r="E240" s="459">
        <v>20.384</v>
      </c>
      <c r="F240" s="448">
        <f aca="true" t="shared" si="23" ref="F240:F245">D240*E240</f>
        <v>3832.192</v>
      </c>
      <c r="G240" s="448">
        <v>0</v>
      </c>
      <c r="H240" s="498">
        <v>0</v>
      </c>
      <c r="I240" s="448">
        <f aca="true" t="shared" si="24" ref="I240:I245">F240+G240+H240</f>
        <v>3832.192</v>
      </c>
    </row>
    <row r="241" spans="1:9" s="116" customFormat="1" ht="15" customHeight="1">
      <c r="A241" s="537"/>
      <c r="B241" s="239">
        <v>1</v>
      </c>
      <c r="C241" s="446" t="s">
        <v>242</v>
      </c>
      <c r="D241" s="447">
        <v>210.25</v>
      </c>
      <c r="E241" s="459">
        <v>20.384</v>
      </c>
      <c r="F241" s="448">
        <f t="shared" si="23"/>
        <v>4285.736</v>
      </c>
      <c r="G241" s="448">
        <v>0</v>
      </c>
      <c r="H241" s="498">
        <v>0</v>
      </c>
      <c r="I241" s="448">
        <f t="shared" si="24"/>
        <v>4285.736</v>
      </c>
    </row>
    <row r="242" spans="1:9" s="116" customFormat="1" ht="15" customHeight="1">
      <c r="A242" s="537"/>
      <c r="B242" s="239">
        <v>1</v>
      </c>
      <c r="C242" s="446" t="s">
        <v>242</v>
      </c>
      <c r="D242" s="447">
        <v>168</v>
      </c>
      <c r="E242" s="459">
        <v>20.384</v>
      </c>
      <c r="F242" s="448">
        <f t="shared" si="23"/>
        <v>3424.512</v>
      </c>
      <c r="G242" s="448">
        <v>0</v>
      </c>
      <c r="H242" s="498">
        <v>0</v>
      </c>
      <c r="I242" s="448">
        <f t="shared" si="24"/>
        <v>3424.512</v>
      </c>
    </row>
    <row r="243" spans="1:9" s="116" customFormat="1" ht="15" customHeight="1">
      <c r="A243" s="537"/>
      <c r="B243" s="239">
        <v>1</v>
      </c>
      <c r="C243" s="446" t="s">
        <v>242</v>
      </c>
      <c r="D243" s="447">
        <v>142.5</v>
      </c>
      <c r="E243" s="459">
        <v>20.384</v>
      </c>
      <c r="F243" s="448">
        <f t="shared" si="23"/>
        <v>2904.7200000000003</v>
      </c>
      <c r="G243" s="448">
        <v>0</v>
      </c>
      <c r="H243" s="498">
        <v>0</v>
      </c>
      <c r="I243" s="448">
        <f t="shared" si="24"/>
        <v>2904.7200000000003</v>
      </c>
    </row>
    <row r="244" spans="1:9" s="116" customFormat="1" ht="15" customHeight="1">
      <c r="A244" s="537"/>
      <c r="B244" s="239">
        <v>1</v>
      </c>
      <c r="C244" s="446" t="s">
        <v>242</v>
      </c>
      <c r="D244" s="447">
        <v>213.75</v>
      </c>
      <c r="E244" s="459">
        <v>20.384</v>
      </c>
      <c r="F244" s="448">
        <f t="shared" si="23"/>
        <v>4357.08</v>
      </c>
      <c r="G244" s="448">
        <v>0</v>
      </c>
      <c r="H244" s="498">
        <v>0</v>
      </c>
      <c r="I244" s="448">
        <f t="shared" si="24"/>
        <v>4357.08</v>
      </c>
    </row>
    <row r="245" spans="1:9" s="116" customFormat="1" ht="15" customHeight="1">
      <c r="A245" s="537"/>
      <c r="B245" s="239">
        <v>1</v>
      </c>
      <c r="C245" s="446" t="s">
        <v>242</v>
      </c>
      <c r="D245" s="447">
        <v>168.5</v>
      </c>
      <c r="E245" s="459">
        <v>20.384</v>
      </c>
      <c r="F245" s="448">
        <f t="shared" si="23"/>
        <v>3434.704</v>
      </c>
      <c r="G245" s="448">
        <v>0</v>
      </c>
      <c r="H245" s="498">
        <v>0</v>
      </c>
      <c r="I245" s="448">
        <f t="shared" si="24"/>
        <v>3434.704</v>
      </c>
    </row>
    <row r="246" spans="1:9" s="204" customFormat="1" ht="15" customHeight="1">
      <c r="A246" s="115" t="s">
        <v>223</v>
      </c>
      <c r="B246" s="202">
        <f>SUM(B240:B245)</f>
        <v>6</v>
      </c>
      <c r="C246" s="199"/>
      <c r="D246" s="203">
        <f>SUM(D240:D245)</f>
        <v>1091</v>
      </c>
      <c r="E246" s="195"/>
      <c r="F246" s="184">
        <f>SUM(F239:F245)</f>
        <v>26652.184000000005</v>
      </c>
      <c r="G246" s="184"/>
      <c r="H246" s="200"/>
      <c r="I246" s="184">
        <f>SUM(I239:I245)</f>
        <v>26652.184000000005</v>
      </c>
    </row>
    <row r="247" spans="1:9" s="2" customFormat="1" ht="15" customHeight="1">
      <c r="A247" s="93" t="s">
        <v>32</v>
      </c>
      <c r="B247" s="45"/>
      <c r="C247" s="106"/>
      <c r="D247" s="449"/>
      <c r="E247" s="499"/>
      <c r="F247" s="450"/>
      <c r="G247" s="450"/>
      <c r="H247" s="500"/>
      <c r="I247" s="450"/>
    </row>
    <row r="248" spans="1:9" s="116" customFormat="1" ht="13.5" customHeight="1">
      <c r="A248" s="537"/>
      <c r="B248" s="239">
        <v>1</v>
      </c>
      <c r="C248" s="446" t="s">
        <v>242</v>
      </c>
      <c r="D248" s="447">
        <v>371.25</v>
      </c>
      <c r="E248" s="459">
        <v>19.812</v>
      </c>
      <c r="F248" s="448">
        <f aca="true" t="shared" si="25" ref="F248:F297">D248*E248</f>
        <v>7355.205000000001</v>
      </c>
      <c r="G248" s="448">
        <v>0</v>
      </c>
      <c r="H248" s="498">
        <v>0</v>
      </c>
      <c r="I248" s="448">
        <f>F248+G248+H248</f>
        <v>7355.205000000001</v>
      </c>
    </row>
    <row r="249" spans="1:9" s="116" customFormat="1" ht="13.5" customHeight="1">
      <c r="A249" s="537"/>
      <c r="B249" s="239">
        <v>1</v>
      </c>
      <c r="C249" s="446" t="s">
        <v>236</v>
      </c>
      <c r="D249" s="447">
        <v>336.75</v>
      </c>
      <c r="E249" s="459">
        <v>19.812</v>
      </c>
      <c r="F249" s="448">
        <f t="shared" si="25"/>
        <v>6671.691000000001</v>
      </c>
      <c r="G249" s="448">
        <v>0</v>
      </c>
      <c r="H249" s="498">
        <v>0</v>
      </c>
      <c r="I249" s="448">
        <f aca="true" t="shared" si="26" ref="I249:I268">F249+G249+H249</f>
        <v>6671.691000000001</v>
      </c>
    </row>
    <row r="250" spans="1:9" s="116" customFormat="1" ht="13.5" customHeight="1">
      <c r="A250" s="537"/>
      <c r="B250" s="239">
        <v>1</v>
      </c>
      <c r="C250" s="446" t="s">
        <v>46</v>
      </c>
      <c r="D250" s="447">
        <v>203</v>
      </c>
      <c r="E250" s="459">
        <v>17.8</v>
      </c>
      <c r="F250" s="448">
        <f t="shared" si="25"/>
        <v>3613.4</v>
      </c>
      <c r="G250" s="448">
        <v>0</v>
      </c>
      <c r="H250" s="498">
        <v>0</v>
      </c>
      <c r="I250" s="448">
        <f t="shared" si="26"/>
        <v>3613.4</v>
      </c>
    </row>
    <row r="251" spans="1:9" s="116" customFormat="1" ht="15" customHeight="1">
      <c r="A251" s="537"/>
      <c r="B251" s="239">
        <v>1</v>
      </c>
      <c r="C251" s="446" t="s">
        <v>236</v>
      </c>
      <c r="D251" s="447">
        <v>390.58</v>
      </c>
      <c r="E251" s="459">
        <v>19.812</v>
      </c>
      <c r="F251" s="448">
        <f t="shared" si="25"/>
        <v>7738.17096</v>
      </c>
      <c r="G251" s="448">
        <v>0</v>
      </c>
      <c r="H251" s="498">
        <v>0</v>
      </c>
      <c r="I251" s="448">
        <f t="shared" si="26"/>
        <v>7738.17096</v>
      </c>
    </row>
    <row r="252" spans="1:9" s="116" customFormat="1" ht="15" customHeight="1">
      <c r="A252" s="537"/>
      <c r="B252" s="239">
        <v>1</v>
      </c>
      <c r="C252" s="446" t="s">
        <v>242</v>
      </c>
      <c r="D252" s="447">
        <v>685</v>
      </c>
      <c r="E252" s="459">
        <v>19.812</v>
      </c>
      <c r="F252" s="448">
        <f t="shared" si="25"/>
        <v>13571.220000000001</v>
      </c>
      <c r="G252" s="448">
        <v>0</v>
      </c>
      <c r="H252" s="498">
        <v>0</v>
      </c>
      <c r="I252" s="448">
        <f t="shared" si="26"/>
        <v>13571.220000000001</v>
      </c>
    </row>
    <row r="253" spans="1:9" s="116" customFormat="1" ht="15" customHeight="1">
      <c r="A253" s="537"/>
      <c r="B253" s="239">
        <v>1</v>
      </c>
      <c r="C253" s="446" t="s">
        <v>242</v>
      </c>
      <c r="D253" s="447">
        <v>572.5</v>
      </c>
      <c r="E253" s="459">
        <v>19.812</v>
      </c>
      <c r="F253" s="448">
        <f t="shared" si="25"/>
        <v>11342.37</v>
      </c>
      <c r="G253" s="448">
        <v>0</v>
      </c>
      <c r="H253" s="498">
        <v>0</v>
      </c>
      <c r="I253" s="448">
        <f t="shared" si="26"/>
        <v>11342.37</v>
      </c>
    </row>
    <row r="254" spans="1:9" s="116" customFormat="1" ht="15" customHeight="1">
      <c r="A254" s="537"/>
      <c r="B254" s="239">
        <v>1</v>
      </c>
      <c r="C254" s="446" t="s">
        <v>236</v>
      </c>
      <c r="D254" s="447">
        <v>202</v>
      </c>
      <c r="E254" s="459">
        <v>19.812</v>
      </c>
      <c r="F254" s="448">
        <f t="shared" si="25"/>
        <v>4002.0240000000003</v>
      </c>
      <c r="G254" s="448">
        <v>0</v>
      </c>
      <c r="H254" s="498">
        <v>0</v>
      </c>
      <c r="I254" s="448">
        <f t="shared" si="26"/>
        <v>4002.0240000000003</v>
      </c>
    </row>
    <row r="255" spans="1:9" s="116" customFormat="1" ht="15" customHeight="1">
      <c r="A255" s="537"/>
      <c r="B255" s="239">
        <v>2</v>
      </c>
      <c r="C255" s="446" t="s">
        <v>85</v>
      </c>
      <c r="D255" s="447">
        <v>1482</v>
      </c>
      <c r="E255" s="459">
        <v>19.812</v>
      </c>
      <c r="F255" s="448">
        <f t="shared" si="25"/>
        <v>29361.384000000002</v>
      </c>
      <c r="G255" s="448">
        <v>0</v>
      </c>
      <c r="H255" s="498">
        <v>0</v>
      </c>
      <c r="I255" s="448">
        <f t="shared" si="26"/>
        <v>29361.384000000002</v>
      </c>
    </row>
    <row r="256" spans="1:9" s="116" customFormat="1" ht="15" customHeight="1">
      <c r="A256" s="537"/>
      <c r="B256" s="239">
        <v>1</v>
      </c>
      <c r="C256" s="446" t="s">
        <v>47</v>
      </c>
      <c r="D256" s="447">
        <f>259+240.25</f>
        <v>499.25</v>
      </c>
      <c r="E256" s="459">
        <v>19.812</v>
      </c>
      <c r="F256" s="448">
        <f t="shared" si="25"/>
        <v>9891.141000000001</v>
      </c>
      <c r="G256" s="448">
        <v>31.32</v>
      </c>
      <c r="H256" s="498">
        <v>0</v>
      </c>
      <c r="I256" s="448">
        <f t="shared" si="26"/>
        <v>9922.461000000001</v>
      </c>
    </row>
    <row r="257" spans="1:9" s="116" customFormat="1" ht="15" customHeight="1">
      <c r="A257" s="537"/>
      <c r="B257" s="239"/>
      <c r="C257" s="446" t="s">
        <v>48</v>
      </c>
      <c r="D257" s="447"/>
      <c r="E257" s="459"/>
      <c r="F257" s="448">
        <f>1170+648</f>
        <v>1818</v>
      </c>
      <c r="G257" s="448">
        <v>0</v>
      </c>
      <c r="H257" s="498">
        <v>0</v>
      </c>
      <c r="I257" s="448">
        <f t="shared" si="26"/>
        <v>1818</v>
      </c>
    </row>
    <row r="258" spans="1:9" ht="15" customHeight="1">
      <c r="A258" s="537"/>
      <c r="B258" s="451"/>
      <c r="C258" s="446" t="s">
        <v>44</v>
      </c>
      <c r="D258" s="452">
        <v>98</v>
      </c>
      <c r="E258" s="448">
        <v>19.812</v>
      </c>
      <c r="F258" s="448">
        <f>D258*E258</f>
        <v>1941.576</v>
      </c>
      <c r="G258" s="188">
        <v>0</v>
      </c>
      <c r="H258" s="188">
        <v>0</v>
      </c>
      <c r="I258" s="448">
        <f t="shared" si="26"/>
        <v>1941.576</v>
      </c>
    </row>
    <row r="259" spans="1:9" s="116" customFormat="1" ht="15" customHeight="1">
      <c r="A259" s="537"/>
      <c r="B259" s="239">
        <v>1</v>
      </c>
      <c r="C259" s="446" t="s">
        <v>242</v>
      </c>
      <c r="D259" s="447">
        <v>215.5</v>
      </c>
      <c r="E259" s="459">
        <v>19.812</v>
      </c>
      <c r="F259" s="448">
        <f t="shared" si="25"/>
        <v>4269.486</v>
      </c>
      <c r="G259" s="448">
        <v>0</v>
      </c>
      <c r="H259" s="498">
        <v>0</v>
      </c>
      <c r="I259" s="448">
        <f t="shared" si="26"/>
        <v>4269.486</v>
      </c>
    </row>
    <row r="260" spans="1:9" s="116" customFormat="1" ht="15" customHeight="1">
      <c r="A260" s="537"/>
      <c r="B260" s="239">
        <v>1</v>
      </c>
      <c r="C260" s="446" t="s">
        <v>236</v>
      </c>
      <c r="D260" s="447">
        <v>569.5</v>
      </c>
      <c r="E260" s="459">
        <v>19.812</v>
      </c>
      <c r="F260" s="448">
        <f t="shared" si="25"/>
        <v>11282.934000000001</v>
      </c>
      <c r="G260" s="448">
        <v>0</v>
      </c>
      <c r="H260" s="498">
        <v>0</v>
      </c>
      <c r="I260" s="448">
        <f t="shared" si="26"/>
        <v>11282.934000000001</v>
      </c>
    </row>
    <row r="261" spans="1:9" s="116" customFormat="1" ht="15" customHeight="1">
      <c r="A261" s="537"/>
      <c r="B261" s="239">
        <v>1</v>
      </c>
      <c r="C261" s="446" t="s">
        <v>236</v>
      </c>
      <c r="D261" s="447">
        <v>222.5</v>
      </c>
      <c r="E261" s="459">
        <v>19.812</v>
      </c>
      <c r="F261" s="448">
        <f t="shared" si="25"/>
        <v>4408.17</v>
      </c>
      <c r="G261" s="448">
        <v>0</v>
      </c>
      <c r="H261" s="498">
        <v>0</v>
      </c>
      <c r="I261" s="448">
        <f t="shared" si="26"/>
        <v>4408.17</v>
      </c>
    </row>
    <row r="262" spans="1:9" s="116" customFormat="1" ht="15" customHeight="1">
      <c r="A262" s="537"/>
      <c r="B262" s="239">
        <v>1</v>
      </c>
      <c r="C262" s="446" t="s">
        <v>236</v>
      </c>
      <c r="D262" s="447">
        <v>444</v>
      </c>
      <c r="E262" s="459">
        <v>19.812</v>
      </c>
      <c r="F262" s="448">
        <f t="shared" si="25"/>
        <v>8796.528</v>
      </c>
      <c r="G262" s="448">
        <v>0</v>
      </c>
      <c r="H262" s="498">
        <v>0</v>
      </c>
      <c r="I262" s="448">
        <f t="shared" si="26"/>
        <v>8796.528</v>
      </c>
    </row>
    <row r="263" spans="1:9" s="116" customFormat="1" ht="15" customHeight="1">
      <c r="A263" s="537"/>
      <c r="B263" s="239">
        <v>1</v>
      </c>
      <c r="C263" s="446" t="s">
        <v>236</v>
      </c>
      <c r="D263" s="447">
        <v>296</v>
      </c>
      <c r="E263" s="459">
        <v>19.812</v>
      </c>
      <c r="F263" s="448">
        <f t="shared" si="25"/>
        <v>5864.352000000001</v>
      </c>
      <c r="G263" s="448">
        <v>0</v>
      </c>
      <c r="H263" s="498">
        <v>0</v>
      </c>
      <c r="I263" s="448">
        <f t="shared" si="26"/>
        <v>5864.352000000001</v>
      </c>
    </row>
    <row r="264" spans="1:9" s="116" customFormat="1" ht="15" customHeight="1">
      <c r="A264" s="537"/>
      <c r="B264" s="239">
        <v>1</v>
      </c>
      <c r="C264" s="446" t="s">
        <v>242</v>
      </c>
      <c r="D264" s="447">
        <v>379</v>
      </c>
      <c r="E264" s="459">
        <v>19.812</v>
      </c>
      <c r="F264" s="448">
        <f t="shared" si="25"/>
        <v>7508.7480000000005</v>
      </c>
      <c r="G264" s="448">
        <v>0</v>
      </c>
      <c r="H264" s="498">
        <v>0</v>
      </c>
      <c r="I264" s="473">
        <f t="shared" si="26"/>
        <v>7508.7480000000005</v>
      </c>
    </row>
    <row r="265" spans="1:9" s="116" customFormat="1" ht="15" customHeight="1">
      <c r="A265" s="537"/>
      <c r="B265" s="239">
        <v>1</v>
      </c>
      <c r="C265" s="446" t="s">
        <v>242</v>
      </c>
      <c r="D265" s="447">
        <v>146.5</v>
      </c>
      <c r="E265" s="459">
        <v>19.812</v>
      </c>
      <c r="F265" s="448">
        <f t="shared" si="25"/>
        <v>2902.458</v>
      </c>
      <c r="G265" s="448">
        <v>0</v>
      </c>
      <c r="H265" s="498">
        <v>0</v>
      </c>
      <c r="I265" s="473">
        <f t="shared" si="26"/>
        <v>2902.458</v>
      </c>
    </row>
    <row r="266" spans="1:9" s="116" customFormat="1" ht="15" customHeight="1">
      <c r="A266" s="537"/>
      <c r="B266" s="239">
        <v>1</v>
      </c>
      <c r="C266" s="446" t="s">
        <v>242</v>
      </c>
      <c r="D266" s="447">
        <v>442.5</v>
      </c>
      <c r="E266" s="459">
        <v>19.812</v>
      </c>
      <c r="F266" s="448">
        <f t="shared" si="25"/>
        <v>8766.810000000001</v>
      </c>
      <c r="G266" s="448">
        <v>0</v>
      </c>
      <c r="H266" s="498">
        <v>0</v>
      </c>
      <c r="I266" s="473">
        <f t="shared" si="26"/>
        <v>8766.810000000001</v>
      </c>
    </row>
    <row r="267" spans="1:9" s="116" customFormat="1" ht="15" customHeight="1">
      <c r="A267" s="537"/>
      <c r="B267" s="239">
        <v>1</v>
      </c>
      <c r="C267" s="446" t="s">
        <v>243</v>
      </c>
      <c r="D267" s="447">
        <f>250.75+303</f>
        <v>553.75</v>
      </c>
      <c r="E267" s="459">
        <v>19.812</v>
      </c>
      <c r="F267" s="448">
        <f t="shared" si="25"/>
        <v>10970.895</v>
      </c>
      <c r="G267" s="448">
        <v>0</v>
      </c>
      <c r="H267" s="498">
        <v>0</v>
      </c>
      <c r="I267" s="473">
        <f t="shared" si="26"/>
        <v>10970.895</v>
      </c>
    </row>
    <row r="268" spans="1:9" s="116" customFormat="1" ht="15" customHeight="1">
      <c r="A268" s="537"/>
      <c r="B268" s="239">
        <v>1</v>
      </c>
      <c r="C268" s="446" t="s">
        <v>93</v>
      </c>
      <c r="D268" s="447">
        <v>528.5</v>
      </c>
      <c r="E268" s="459">
        <v>19.79</v>
      </c>
      <c r="F268" s="448">
        <f t="shared" si="25"/>
        <v>10459.015</v>
      </c>
      <c r="G268" s="448">
        <v>0</v>
      </c>
      <c r="H268" s="498">
        <v>0</v>
      </c>
      <c r="I268" s="473">
        <f t="shared" si="26"/>
        <v>10459.015</v>
      </c>
    </row>
    <row r="269" spans="1:9" s="116" customFormat="1" ht="15" customHeight="1">
      <c r="A269" s="537"/>
      <c r="B269" s="239">
        <v>1</v>
      </c>
      <c r="C269" s="446" t="s">
        <v>243</v>
      </c>
      <c r="D269" s="447">
        <f>92+527.75</f>
        <v>619.75</v>
      </c>
      <c r="E269" s="459">
        <v>19.812</v>
      </c>
      <c r="F269" s="448">
        <f t="shared" si="25"/>
        <v>12278.487000000001</v>
      </c>
      <c r="G269" s="448">
        <v>0</v>
      </c>
      <c r="H269" s="498">
        <v>0</v>
      </c>
      <c r="I269" s="473">
        <f>F269+G269+H269</f>
        <v>12278.487000000001</v>
      </c>
    </row>
    <row r="270" spans="1:9" s="116" customFormat="1" ht="15" customHeight="1">
      <c r="A270" s="537"/>
      <c r="B270" s="239"/>
      <c r="C270" s="446" t="s">
        <v>242</v>
      </c>
      <c r="D270" s="447">
        <v>369.5</v>
      </c>
      <c r="E270" s="459">
        <v>17.9192</v>
      </c>
      <c r="F270" s="448">
        <f t="shared" si="25"/>
        <v>6621.1444</v>
      </c>
      <c r="G270" s="448">
        <v>0</v>
      </c>
      <c r="H270" s="498">
        <v>0</v>
      </c>
      <c r="I270" s="473">
        <f>F270+G270+H270</f>
        <v>6621.1444</v>
      </c>
    </row>
    <row r="271" spans="1:10" s="116" customFormat="1" ht="15" customHeight="1">
      <c r="A271" s="537"/>
      <c r="B271" s="239">
        <v>1</v>
      </c>
      <c r="C271" s="446" t="s">
        <v>242</v>
      </c>
      <c r="D271" s="447">
        <v>450.5</v>
      </c>
      <c r="E271" s="459">
        <v>19.812</v>
      </c>
      <c r="F271" s="448">
        <f t="shared" si="25"/>
        <v>8925.306</v>
      </c>
      <c r="G271" s="448">
        <v>0</v>
      </c>
      <c r="H271" s="498">
        <v>0</v>
      </c>
      <c r="I271" s="473">
        <f aca="true" t="shared" si="27" ref="I271:I297">F271+G271+H271</f>
        <v>8925.306</v>
      </c>
      <c r="J271" s="131"/>
    </row>
    <row r="272" spans="1:9" s="116" customFormat="1" ht="15" customHeight="1">
      <c r="A272" s="537"/>
      <c r="B272" s="239">
        <v>1</v>
      </c>
      <c r="C272" s="446" t="s">
        <v>236</v>
      </c>
      <c r="D272" s="447">
        <v>619</v>
      </c>
      <c r="E272" s="459">
        <v>19.812</v>
      </c>
      <c r="F272" s="448">
        <f t="shared" si="25"/>
        <v>12263.628</v>
      </c>
      <c r="G272" s="448">
        <v>0</v>
      </c>
      <c r="H272" s="498">
        <v>0</v>
      </c>
      <c r="I272" s="473">
        <f t="shared" si="27"/>
        <v>12263.628</v>
      </c>
    </row>
    <row r="273" spans="1:9" s="116" customFormat="1" ht="15" customHeight="1">
      <c r="A273" s="537"/>
      <c r="B273" s="239">
        <v>1</v>
      </c>
      <c r="C273" s="446" t="s">
        <v>236</v>
      </c>
      <c r="D273" s="447">
        <v>619</v>
      </c>
      <c r="E273" s="459">
        <v>19.812</v>
      </c>
      <c r="F273" s="448">
        <f t="shared" si="25"/>
        <v>12263.628</v>
      </c>
      <c r="G273" s="448">
        <v>0</v>
      </c>
      <c r="H273" s="498">
        <v>0</v>
      </c>
      <c r="I273" s="473">
        <f t="shared" si="27"/>
        <v>12263.628</v>
      </c>
    </row>
    <row r="274" spans="1:9" s="116" customFormat="1" ht="15" customHeight="1">
      <c r="A274" s="537"/>
      <c r="B274" s="239">
        <v>1</v>
      </c>
      <c r="C274" s="446" t="s">
        <v>242</v>
      </c>
      <c r="D274" s="447">
        <v>230</v>
      </c>
      <c r="E274" s="459">
        <v>19.812</v>
      </c>
      <c r="F274" s="448">
        <f t="shared" si="25"/>
        <v>4556.76</v>
      </c>
      <c r="G274" s="448">
        <v>0</v>
      </c>
      <c r="H274" s="498">
        <v>0</v>
      </c>
      <c r="I274" s="473">
        <f t="shared" si="27"/>
        <v>4556.76</v>
      </c>
    </row>
    <row r="275" spans="1:9" s="116" customFormat="1" ht="15" customHeight="1">
      <c r="A275" s="537"/>
      <c r="B275" s="239">
        <v>1</v>
      </c>
      <c r="C275" s="446" t="s">
        <v>242</v>
      </c>
      <c r="D275" s="447">
        <v>1093</v>
      </c>
      <c r="E275" s="459">
        <v>19.812</v>
      </c>
      <c r="F275" s="448">
        <f t="shared" si="25"/>
        <v>21654.516</v>
      </c>
      <c r="G275" s="448">
        <v>0</v>
      </c>
      <c r="H275" s="498">
        <v>0</v>
      </c>
      <c r="I275" s="473">
        <f t="shared" si="27"/>
        <v>21654.516</v>
      </c>
    </row>
    <row r="276" spans="1:9" s="116" customFormat="1" ht="15" customHeight="1">
      <c r="A276" s="537"/>
      <c r="B276" s="239">
        <v>1</v>
      </c>
      <c r="C276" s="446" t="s">
        <v>243</v>
      </c>
      <c r="D276" s="447">
        <f>541.5+573.5</f>
        <v>1115</v>
      </c>
      <c r="E276" s="459">
        <v>19.812</v>
      </c>
      <c r="F276" s="448">
        <f t="shared" si="25"/>
        <v>22090.38</v>
      </c>
      <c r="G276" s="448">
        <v>0</v>
      </c>
      <c r="H276" s="498">
        <v>0</v>
      </c>
      <c r="I276" s="473">
        <f t="shared" si="27"/>
        <v>22090.38</v>
      </c>
    </row>
    <row r="277" spans="1:9" s="116" customFormat="1" ht="15" customHeight="1">
      <c r="A277" s="537"/>
      <c r="B277" s="239">
        <v>1</v>
      </c>
      <c r="C277" s="446" t="s">
        <v>236</v>
      </c>
      <c r="D277" s="447">
        <v>242</v>
      </c>
      <c r="E277" s="459">
        <v>19.812</v>
      </c>
      <c r="F277" s="448">
        <f t="shared" si="25"/>
        <v>4794.504</v>
      </c>
      <c r="G277" s="448">
        <v>0</v>
      </c>
      <c r="H277" s="498">
        <v>0</v>
      </c>
      <c r="I277" s="473">
        <f t="shared" si="27"/>
        <v>4794.504</v>
      </c>
    </row>
    <row r="278" spans="1:9" s="116" customFormat="1" ht="15" customHeight="1">
      <c r="A278" s="537"/>
      <c r="B278" s="239">
        <v>1</v>
      </c>
      <c r="C278" s="446" t="s">
        <v>236</v>
      </c>
      <c r="D278" s="447">
        <v>554.13</v>
      </c>
      <c r="E278" s="459">
        <v>19.812</v>
      </c>
      <c r="F278" s="448">
        <f t="shared" si="25"/>
        <v>10978.423560000001</v>
      </c>
      <c r="G278" s="448">
        <v>0</v>
      </c>
      <c r="H278" s="498">
        <v>0</v>
      </c>
      <c r="I278" s="473">
        <f t="shared" si="27"/>
        <v>10978.423560000001</v>
      </c>
    </row>
    <row r="279" spans="1:9" s="116" customFormat="1" ht="15" customHeight="1">
      <c r="A279" s="537"/>
      <c r="B279" s="239">
        <v>1</v>
      </c>
      <c r="C279" s="446" t="s">
        <v>236</v>
      </c>
      <c r="D279" s="447">
        <v>440</v>
      </c>
      <c r="E279" s="459">
        <v>19.812</v>
      </c>
      <c r="F279" s="448">
        <f t="shared" si="25"/>
        <v>8717.28</v>
      </c>
      <c r="G279" s="448">
        <v>0</v>
      </c>
      <c r="H279" s="498">
        <v>0</v>
      </c>
      <c r="I279" s="473">
        <f t="shared" si="27"/>
        <v>8717.28</v>
      </c>
    </row>
    <row r="280" spans="1:9" s="116" customFormat="1" ht="15" customHeight="1">
      <c r="A280" s="537"/>
      <c r="B280" s="239">
        <v>1</v>
      </c>
      <c r="C280" s="446" t="s">
        <v>236</v>
      </c>
      <c r="D280" s="447">
        <v>245</v>
      </c>
      <c r="E280" s="459">
        <v>19.812</v>
      </c>
      <c r="F280" s="448">
        <f t="shared" si="25"/>
        <v>4853.9400000000005</v>
      </c>
      <c r="G280" s="448">
        <v>0</v>
      </c>
      <c r="H280" s="498">
        <v>0</v>
      </c>
      <c r="I280" s="473">
        <f t="shared" si="27"/>
        <v>4853.9400000000005</v>
      </c>
    </row>
    <row r="281" spans="1:9" s="116" customFormat="1" ht="15" customHeight="1">
      <c r="A281" s="537"/>
      <c r="B281" s="239">
        <v>1</v>
      </c>
      <c r="C281" s="446" t="s">
        <v>236</v>
      </c>
      <c r="D281" s="447">
        <v>431</v>
      </c>
      <c r="E281" s="459">
        <v>19.812</v>
      </c>
      <c r="F281" s="448">
        <f t="shared" si="25"/>
        <v>8538.972</v>
      </c>
      <c r="G281" s="448">
        <v>0</v>
      </c>
      <c r="H281" s="498">
        <v>0</v>
      </c>
      <c r="I281" s="473">
        <f t="shared" si="27"/>
        <v>8538.972</v>
      </c>
    </row>
    <row r="282" spans="1:9" s="116" customFormat="1" ht="15" customHeight="1">
      <c r="A282" s="537"/>
      <c r="B282" s="239">
        <v>1</v>
      </c>
      <c r="C282" s="446" t="s">
        <v>236</v>
      </c>
      <c r="D282" s="447">
        <v>584</v>
      </c>
      <c r="E282" s="459">
        <v>19.812</v>
      </c>
      <c r="F282" s="448">
        <f t="shared" si="25"/>
        <v>11570.208</v>
      </c>
      <c r="G282" s="448">
        <v>0</v>
      </c>
      <c r="H282" s="498">
        <v>0</v>
      </c>
      <c r="I282" s="473">
        <f t="shared" si="27"/>
        <v>11570.208</v>
      </c>
    </row>
    <row r="283" spans="1:9" s="116" customFormat="1" ht="15" customHeight="1">
      <c r="A283" s="537"/>
      <c r="B283" s="239">
        <v>1</v>
      </c>
      <c r="C283" s="446" t="s">
        <v>242</v>
      </c>
      <c r="D283" s="447">
        <v>571</v>
      </c>
      <c r="E283" s="459">
        <v>19.812</v>
      </c>
      <c r="F283" s="448">
        <f t="shared" si="25"/>
        <v>11312.652</v>
      </c>
      <c r="G283" s="448">
        <v>0</v>
      </c>
      <c r="H283" s="498">
        <v>0</v>
      </c>
      <c r="I283" s="473">
        <f t="shared" si="27"/>
        <v>11312.652</v>
      </c>
    </row>
    <row r="284" spans="1:9" s="116" customFormat="1" ht="15" customHeight="1">
      <c r="A284" s="537"/>
      <c r="B284" s="239">
        <v>1</v>
      </c>
      <c r="C284" s="446" t="s">
        <v>236</v>
      </c>
      <c r="D284" s="447">
        <v>290.25</v>
      </c>
      <c r="E284" s="459">
        <v>19.812</v>
      </c>
      <c r="F284" s="448">
        <f t="shared" si="25"/>
        <v>5750.433</v>
      </c>
      <c r="G284" s="448">
        <v>0</v>
      </c>
      <c r="H284" s="498">
        <v>0</v>
      </c>
      <c r="I284" s="473">
        <f t="shared" si="27"/>
        <v>5750.433</v>
      </c>
    </row>
    <row r="285" spans="1:9" s="116" customFormat="1" ht="15" customHeight="1">
      <c r="A285" s="537"/>
      <c r="B285" s="239">
        <v>1</v>
      </c>
      <c r="C285" s="446" t="s">
        <v>236</v>
      </c>
      <c r="D285" s="447">
        <v>501.84</v>
      </c>
      <c r="E285" s="459">
        <v>19.812</v>
      </c>
      <c r="F285" s="448">
        <f t="shared" si="25"/>
        <v>9942.45408</v>
      </c>
      <c r="G285" s="448">
        <v>0</v>
      </c>
      <c r="H285" s="498">
        <v>0</v>
      </c>
      <c r="I285" s="473">
        <f t="shared" si="27"/>
        <v>9942.45408</v>
      </c>
    </row>
    <row r="286" spans="1:9" s="116" customFormat="1" ht="15" customHeight="1">
      <c r="A286" s="537"/>
      <c r="B286" s="239">
        <v>1</v>
      </c>
      <c r="C286" s="446" t="s">
        <v>236</v>
      </c>
      <c r="D286" s="447">
        <v>340</v>
      </c>
      <c r="E286" s="459">
        <v>19.812</v>
      </c>
      <c r="F286" s="448">
        <f t="shared" si="25"/>
        <v>6736.080000000001</v>
      </c>
      <c r="G286" s="448">
        <v>0</v>
      </c>
      <c r="H286" s="498">
        <v>0</v>
      </c>
      <c r="I286" s="473">
        <f t="shared" si="27"/>
        <v>6736.080000000001</v>
      </c>
    </row>
    <row r="287" spans="1:9" s="116" customFormat="1" ht="15" customHeight="1">
      <c r="A287" s="537"/>
      <c r="B287" s="239">
        <v>1</v>
      </c>
      <c r="C287" s="446" t="s">
        <v>243</v>
      </c>
      <c r="D287" s="447">
        <f>714+166.5</f>
        <v>880.5</v>
      </c>
      <c r="E287" s="459">
        <v>19.812</v>
      </c>
      <c r="F287" s="448">
        <f t="shared" si="25"/>
        <v>17444.466</v>
      </c>
      <c r="G287" s="448">
        <v>0</v>
      </c>
      <c r="H287" s="498">
        <v>0</v>
      </c>
      <c r="I287" s="473">
        <f t="shared" si="27"/>
        <v>17444.466</v>
      </c>
    </row>
    <row r="288" spans="1:9" s="116" customFormat="1" ht="15" customHeight="1">
      <c r="A288" s="537"/>
      <c r="B288" s="239">
        <v>1</v>
      </c>
      <c r="C288" s="446" t="s">
        <v>236</v>
      </c>
      <c r="D288" s="447">
        <v>149.5</v>
      </c>
      <c r="E288" s="459">
        <v>19.812</v>
      </c>
      <c r="F288" s="448">
        <f t="shared" si="25"/>
        <v>2961.8940000000002</v>
      </c>
      <c r="G288" s="448">
        <v>0</v>
      </c>
      <c r="H288" s="498">
        <v>0</v>
      </c>
      <c r="I288" s="473">
        <f t="shared" si="27"/>
        <v>2961.8940000000002</v>
      </c>
    </row>
    <row r="289" spans="1:9" s="116" customFormat="1" ht="15" customHeight="1">
      <c r="A289" s="537"/>
      <c r="B289" s="239"/>
      <c r="C289" s="446" t="s">
        <v>236</v>
      </c>
      <c r="D289" s="447"/>
      <c r="E289" s="459"/>
      <c r="F289" s="448">
        <f t="shared" si="25"/>
        <v>0</v>
      </c>
      <c r="G289" s="448">
        <v>0</v>
      </c>
      <c r="H289" s="498">
        <v>332.92</v>
      </c>
      <c r="I289" s="473">
        <f t="shared" si="27"/>
        <v>332.92</v>
      </c>
    </row>
    <row r="290" spans="1:9" s="232" customFormat="1" ht="15" customHeight="1">
      <c r="A290" s="537"/>
      <c r="B290" s="239">
        <v>1</v>
      </c>
      <c r="C290" s="446" t="s">
        <v>242</v>
      </c>
      <c r="D290" s="447">
        <v>222</v>
      </c>
      <c r="E290" s="459">
        <v>19.812</v>
      </c>
      <c r="F290" s="448">
        <f t="shared" si="25"/>
        <v>4398.264</v>
      </c>
      <c r="G290" s="448">
        <v>0</v>
      </c>
      <c r="H290" s="498">
        <v>0</v>
      </c>
      <c r="I290" s="473">
        <f t="shared" si="27"/>
        <v>4398.264</v>
      </c>
    </row>
    <row r="291" spans="1:9" s="232" customFormat="1" ht="15" customHeight="1">
      <c r="A291" s="537"/>
      <c r="B291" s="239">
        <v>1</v>
      </c>
      <c r="C291" s="446" t="s">
        <v>236</v>
      </c>
      <c r="D291" s="447">
        <v>474</v>
      </c>
      <c r="E291" s="459">
        <v>19.812</v>
      </c>
      <c r="F291" s="448">
        <f t="shared" si="25"/>
        <v>9390.888</v>
      </c>
      <c r="G291" s="448">
        <v>0</v>
      </c>
      <c r="H291" s="498">
        <v>0</v>
      </c>
      <c r="I291" s="473">
        <f t="shared" si="27"/>
        <v>9390.888</v>
      </c>
    </row>
    <row r="292" spans="1:9" s="232" customFormat="1" ht="15" customHeight="1">
      <c r="A292" s="537"/>
      <c r="B292" s="239">
        <v>1</v>
      </c>
      <c r="C292" s="446" t="s">
        <v>236</v>
      </c>
      <c r="D292" s="447">
        <v>443.5</v>
      </c>
      <c r="E292" s="459">
        <v>19.812</v>
      </c>
      <c r="F292" s="448">
        <f t="shared" si="25"/>
        <v>8786.622000000001</v>
      </c>
      <c r="G292" s="448">
        <v>0</v>
      </c>
      <c r="H292" s="498">
        <v>0</v>
      </c>
      <c r="I292" s="448">
        <f t="shared" si="27"/>
        <v>8786.622000000001</v>
      </c>
    </row>
    <row r="293" spans="1:9" s="232" customFormat="1" ht="15" customHeight="1">
      <c r="A293" s="537"/>
      <c r="B293" s="239">
        <v>1</v>
      </c>
      <c r="C293" s="446" t="s">
        <v>242</v>
      </c>
      <c r="D293" s="447">
        <v>127.5</v>
      </c>
      <c r="E293" s="459">
        <v>19.812</v>
      </c>
      <c r="F293" s="448">
        <f t="shared" si="25"/>
        <v>2526.03</v>
      </c>
      <c r="G293" s="448">
        <v>0</v>
      </c>
      <c r="H293" s="498">
        <v>0</v>
      </c>
      <c r="I293" s="448">
        <f t="shared" si="27"/>
        <v>2526.03</v>
      </c>
    </row>
    <row r="294" spans="1:9" s="232" customFormat="1" ht="15" customHeight="1">
      <c r="A294" s="537"/>
      <c r="B294" s="239">
        <v>1</v>
      </c>
      <c r="C294" s="446" t="s">
        <v>242</v>
      </c>
      <c r="D294" s="447">
        <v>375</v>
      </c>
      <c r="E294" s="459">
        <v>19.812</v>
      </c>
      <c r="F294" s="448">
        <f t="shared" si="25"/>
        <v>7429.5</v>
      </c>
      <c r="G294" s="448">
        <v>0</v>
      </c>
      <c r="H294" s="498">
        <v>0</v>
      </c>
      <c r="I294" s="448">
        <f t="shared" si="27"/>
        <v>7429.5</v>
      </c>
    </row>
    <row r="295" spans="1:9" s="232" customFormat="1" ht="15" customHeight="1">
      <c r="A295" s="537"/>
      <c r="B295" s="239">
        <v>1</v>
      </c>
      <c r="C295" s="446" t="s">
        <v>236</v>
      </c>
      <c r="D295" s="447">
        <v>360</v>
      </c>
      <c r="E295" s="459">
        <v>19.812</v>
      </c>
      <c r="F295" s="448">
        <f t="shared" si="25"/>
        <v>7132.320000000001</v>
      </c>
      <c r="G295" s="448">
        <v>0</v>
      </c>
      <c r="H295" s="498">
        <v>0</v>
      </c>
      <c r="I295" s="448">
        <f t="shared" si="27"/>
        <v>7132.320000000001</v>
      </c>
    </row>
    <row r="296" spans="1:9" s="232" customFormat="1" ht="15" customHeight="1">
      <c r="A296" s="537"/>
      <c r="B296" s="239">
        <v>1</v>
      </c>
      <c r="C296" s="446" t="s">
        <v>236</v>
      </c>
      <c r="D296" s="447">
        <v>106.5</v>
      </c>
      <c r="E296" s="459">
        <v>19.812</v>
      </c>
      <c r="F296" s="448">
        <f t="shared" si="25"/>
        <v>2109.978</v>
      </c>
      <c r="G296" s="448">
        <v>0</v>
      </c>
      <c r="H296" s="498">
        <v>0</v>
      </c>
      <c r="I296" s="448">
        <f t="shared" si="27"/>
        <v>2109.978</v>
      </c>
    </row>
    <row r="297" spans="1:9" s="232" customFormat="1" ht="15" customHeight="1">
      <c r="A297" s="537"/>
      <c r="B297" s="505">
        <v>1</v>
      </c>
      <c r="C297" s="446" t="s">
        <v>236</v>
      </c>
      <c r="D297" s="506">
        <v>363.67</v>
      </c>
      <c r="E297" s="507">
        <v>19.812</v>
      </c>
      <c r="F297" s="448">
        <f t="shared" si="25"/>
        <v>7205.030040000001</v>
      </c>
      <c r="G297" s="473">
        <v>0</v>
      </c>
      <c r="H297" s="508">
        <v>0</v>
      </c>
      <c r="I297" s="473">
        <f t="shared" si="27"/>
        <v>7205.030040000001</v>
      </c>
    </row>
    <row r="298" spans="1:9" s="116" customFormat="1" ht="15" customHeight="1">
      <c r="A298" s="501" t="s">
        <v>53</v>
      </c>
      <c r="B298" s="239"/>
      <c r="C298" s="446" t="s">
        <v>236</v>
      </c>
      <c r="D298" s="447">
        <v>375.5</v>
      </c>
      <c r="E298" s="459">
        <v>21.1848</v>
      </c>
      <c r="F298" s="448">
        <f>D298*E298</f>
        <v>7954.8924</v>
      </c>
      <c r="G298" s="448">
        <v>0</v>
      </c>
      <c r="H298" s="498">
        <v>0</v>
      </c>
      <c r="I298" s="448">
        <f>F298</f>
        <v>7954.8924</v>
      </c>
    </row>
    <row r="299" spans="1:9" s="116" customFormat="1" ht="15" customHeight="1">
      <c r="A299" s="501" t="s">
        <v>49</v>
      </c>
      <c r="B299" s="239"/>
      <c r="C299" s="446" t="s">
        <v>236</v>
      </c>
      <c r="D299" s="447">
        <v>342</v>
      </c>
      <c r="E299" s="459">
        <v>19.812</v>
      </c>
      <c r="F299" s="448">
        <f>D299*E299</f>
        <v>6775.704000000001</v>
      </c>
      <c r="G299" s="448">
        <v>0</v>
      </c>
      <c r="H299" s="498">
        <v>0</v>
      </c>
      <c r="I299" s="473">
        <f>F299+G299+H299</f>
        <v>6775.704000000001</v>
      </c>
    </row>
    <row r="300" spans="1:9" s="116" customFormat="1" ht="15" customHeight="1">
      <c r="A300" s="455" t="s">
        <v>267</v>
      </c>
      <c r="B300" s="453">
        <v>1</v>
      </c>
      <c r="C300" s="454" t="s">
        <v>236</v>
      </c>
      <c r="D300" s="452">
        <v>82</v>
      </c>
      <c r="E300" s="459">
        <v>19.812</v>
      </c>
      <c r="F300" s="448">
        <f>D300*E300</f>
        <v>1624.584</v>
      </c>
      <c r="G300" s="448">
        <v>0</v>
      </c>
      <c r="H300" s="498">
        <v>0</v>
      </c>
      <c r="I300" s="473">
        <f>F300+G300+H300</f>
        <v>1624.584</v>
      </c>
    </row>
    <row r="301" spans="1:9" s="116" customFormat="1" ht="15" customHeight="1">
      <c r="A301" s="455" t="s">
        <v>50</v>
      </c>
      <c r="B301" s="453"/>
      <c r="C301" s="454" t="s">
        <v>85</v>
      </c>
      <c r="D301" s="452"/>
      <c r="E301" s="459"/>
      <c r="F301" s="448">
        <v>2502.31</v>
      </c>
      <c r="G301" s="448">
        <v>0</v>
      </c>
      <c r="H301" s="498">
        <v>0</v>
      </c>
      <c r="I301" s="473">
        <f>F301+G301+H301</f>
        <v>2502.31</v>
      </c>
    </row>
    <row r="302" spans="1:9" s="116" customFormat="1" ht="15" customHeight="1">
      <c r="A302" s="455" t="s">
        <v>51</v>
      </c>
      <c r="B302" s="453"/>
      <c r="C302" s="454" t="s">
        <v>52</v>
      </c>
      <c r="D302" s="452"/>
      <c r="E302" s="459"/>
      <c r="F302" s="448">
        <v>500</v>
      </c>
      <c r="G302" s="448">
        <v>0</v>
      </c>
      <c r="H302" s="498">
        <v>0</v>
      </c>
      <c r="I302" s="473">
        <f>F302+G302+H302</f>
        <v>500</v>
      </c>
    </row>
    <row r="303" spans="1:9" s="232" customFormat="1" ht="15" customHeight="1">
      <c r="A303" s="442" t="s">
        <v>113</v>
      </c>
      <c r="B303" s="505"/>
      <c r="C303" s="509" t="s">
        <v>242</v>
      </c>
      <c r="D303" s="506"/>
      <c r="E303" s="507"/>
      <c r="F303" s="448"/>
      <c r="G303" s="473">
        <v>2438</v>
      </c>
      <c r="H303" s="508">
        <v>62.2</v>
      </c>
      <c r="I303" s="473">
        <f>G303+H303</f>
        <v>2500.2</v>
      </c>
    </row>
    <row r="304" spans="1:9" s="204" customFormat="1" ht="15" customHeight="1">
      <c r="A304" s="109" t="s">
        <v>83</v>
      </c>
      <c r="B304" s="202">
        <f>SUM(B249:B297)</f>
        <v>46</v>
      </c>
      <c r="C304" s="108"/>
      <c r="D304" s="203">
        <f>SUM(D248:D297)</f>
        <v>21455.219999999998</v>
      </c>
      <c r="E304" s="192"/>
      <c r="F304" s="184">
        <f>SUM(F248:F297)</f>
        <v>425769.36604000017</v>
      </c>
      <c r="G304" s="184">
        <f>SUM(G248:G303)</f>
        <v>2469.32</v>
      </c>
      <c r="H304" s="184">
        <f>SUM(H249:H297)</f>
        <v>332.92</v>
      </c>
      <c r="I304" s="184">
        <f>SUM(I248:I303)</f>
        <v>447991.2964400001</v>
      </c>
    </row>
    <row r="305" spans="1:9" s="190" customFormat="1" ht="15" customHeight="1">
      <c r="A305" s="96" t="s">
        <v>181</v>
      </c>
      <c r="B305" s="130">
        <f>B304+B246+B237+B196+B172+B144+B113+B97+B31</f>
        <v>255</v>
      </c>
      <c r="C305" s="191"/>
      <c r="D305" s="209">
        <f>D31+D97+D113+D144+D172+D196+D237+D246+D304</f>
        <v>84993.77</v>
      </c>
      <c r="E305" s="209"/>
      <c r="F305" s="209">
        <f>F31+F97+F113+F144+F172+F196+F237+F246+F304</f>
        <v>2067747.1952400005</v>
      </c>
      <c r="G305" s="209"/>
      <c r="H305" s="209">
        <f>H31+H97+H113+H144+H172+H196+H237+H246+H304</f>
        <v>332.92</v>
      </c>
      <c r="I305" s="181">
        <f>I304+I246+I237+I196+I172+I144+I113+I97+I31</f>
        <v>2091349.34364</v>
      </c>
    </row>
  </sheetData>
  <autoFilter ref="C1:C306"/>
  <mergeCells count="2">
    <mergeCell ref="A2:I2"/>
    <mergeCell ref="A1:I1"/>
  </mergeCells>
  <printOptions/>
  <pageMargins left="0.75" right="0.75" top="1" bottom="1" header="0.5" footer="0.5"/>
  <pageSetup horizontalDpi="600" verticalDpi="600" orientation="landscape" paperSize="9" scale="70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47"/>
  <sheetViews>
    <sheetView workbookViewId="0" topLeftCell="A1">
      <pane ySplit="2" topLeftCell="BM3" activePane="bottomLeft" state="frozen"/>
      <selection pane="topLeft" activeCell="A1" sqref="A1"/>
      <selection pane="bottomLeft" activeCell="B50" sqref="B50"/>
    </sheetView>
  </sheetViews>
  <sheetFormatPr defaultColWidth="9.140625" defaultRowHeight="12.75"/>
  <cols>
    <col min="1" max="1" width="74.00390625" style="56" bestFit="1" customWidth="1"/>
    <col min="2" max="2" width="30.421875" style="56" customWidth="1"/>
    <col min="3" max="3" width="12.57421875" style="97" customWidth="1"/>
    <col min="4" max="4" width="7.8515625" style="56" customWidth="1"/>
    <col min="5" max="5" width="7.421875" style="56" customWidth="1"/>
    <col min="6" max="6" width="10.00390625" style="33" customWidth="1"/>
    <col min="7" max="7" width="13.421875" style="33" customWidth="1"/>
    <col min="8" max="8" width="25.421875" style="33" hidden="1" customWidth="1"/>
    <col min="9" max="9" width="25.421875" style="33" customWidth="1"/>
    <col min="10" max="16384" width="11.57421875" style="54" customWidth="1"/>
  </cols>
  <sheetData>
    <row r="1" spans="1:10" s="48" customFormat="1" ht="30" customHeight="1">
      <c r="A1" s="545" t="s">
        <v>187</v>
      </c>
      <c r="B1" s="545"/>
      <c r="C1" s="545"/>
      <c r="D1" s="545"/>
      <c r="E1" s="545"/>
      <c r="F1" s="545"/>
      <c r="G1" s="545"/>
      <c r="H1" s="545"/>
      <c r="I1" s="545"/>
      <c r="J1" s="280">
        <v>40070165</v>
      </c>
    </row>
    <row r="2" spans="1:10" s="49" customFormat="1" ht="39" customHeight="1">
      <c r="A2" s="551" t="s">
        <v>246</v>
      </c>
      <c r="B2" s="551"/>
      <c r="C2" s="551"/>
      <c r="D2" s="551"/>
      <c r="E2" s="551"/>
      <c r="F2" s="551"/>
      <c r="G2" s="551"/>
      <c r="H2" s="551"/>
      <c r="I2" s="551"/>
      <c r="J2" s="510"/>
    </row>
    <row r="3" spans="1:9" s="50" customFormat="1" ht="15" customHeight="1">
      <c r="A3" s="42" t="s">
        <v>12</v>
      </c>
      <c r="B3" s="42" t="s">
        <v>95</v>
      </c>
      <c r="C3" s="134" t="s">
        <v>160</v>
      </c>
      <c r="D3" s="29" t="s">
        <v>33</v>
      </c>
      <c r="E3" s="29" t="s">
        <v>34</v>
      </c>
      <c r="F3" s="29" t="s">
        <v>161</v>
      </c>
      <c r="G3" s="29" t="s">
        <v>162</v>
      </c>
      <c r="H3" s="29" t="s">
        <v>163</v>
      </c>
      <c r="I3" s="29" t="s">
        <v>248</v>
      </c>
    </row>
    <row r="4" spans="1:9" s="51" customFormat="1" ht="15" customHeight="1">
      <c r="A4" s="37" t="s">
        <v>26</v>
      </c>
      <c r="B4" s="40"/>
      <c r="C4" s="511"/>
      <c r="D4" s="29"/>
      <c r="E4" s="29"/>
      <c r="F4" s="29"/>
      <c r="G4" s="29"/>
      <c r="H4" s="29"/>
      <c r="I4" s="29"/>
    </row>
    <row r="5" spans="1:9" s="52" customFormat="1" ht="15" customHeight="1">
      <c r="A5" s="536"/>
      <c r="B5" s="300" t="s">
        <v>142</v>
      </c>
      <c r="C5" s="392">
        <v>2</v>
      </c>
      <c r="D5" s="512"/>
      <c r="E5" s="512">
        <v>2</v>
      </c>
      <c r="F5" s="512"/>
      <c r="G5" s="512">
        <v>2</v>
      </c>
      <c r="H5" s="512"/>
      <c r="I5" s="513">
        <v>40252</v>
      </c>
    </row>
    <row r="6" spans="1:9" s="52" customFormat="1" ht="15" customHeight="1">
      <c r="A6" s="536"/>
      <c r="B6" s="300" t="s">
        <v>80</v>
      </c>
      <c r="C6" s="392">
        <v>1</v>
      </c>
      <c r="D6" s="512">
        <v>1</v>
      </c>
      <c r="E6" s="512"/>
      <c r="F6" s="512"/>
      <c r="G6" s="512">
        <v>1</v>
      </c>
      <c r="H6" s="512"/>
      <c r="I6" s="513">
        <v>40304</v>
      </c>
    </row>
    <row r="7" spans="1:9" s="161" customFormat="1" ht="15" customHeight="1">
      <c r="A7" s="133" t="s">
        <v>40</v>
      </c>
      <c r="B7" s="113"/>
      <c r="C7" s="112">
        <f>SUM(C5:C6)</f>
        <v>3</v>
      </c>
      <c r="D7" s="121">
        <f>SUM(D5:D6)</f>
        <v>1</v>
      </c>
      <c r="E7" s="121">
        <f>SUM(E5:E6)</f>
        <v>2</v>
      </c>
      <c r="F7" s="121"/>
      <c r="G7" s="121">
        <f>SUM(G5:G6)</f>
        <v>3</v>
      </c>
      <c r="H7" s="112"/>
      <c r="I7" s="112"/>
    </row>
    <row r="8" spans="1:9" s="51" customFormat="1" ht="15" customHeight="1">
      <c r="A8" s="37" t="s">
        <v>24</v>
      </c>
      <c r="B8" s="40"/>
      <c r="C8" s="514"/>
      <c r="D8" s="29"/>
      <c r="E8" s="29"/>
      <c r="F8" s="29"/>
      <c r="G8" s="29"/>
      <c r="H8" s="29"/>
      <c r="I8" s="29"/>
    </row>
    <row r="9" spans="1:9" s="53" customFormat="1" ht="15" customHeight="1">
      <c r="A9" s="536"/>
      <c r="B9" s="300" t="s">
        <v>281</v>
      </c>
      <c r="C9" s="392">
        <v>1</v>
      </c>
      <c r="D9" s="301">
        <v>1</v>
      </c>
      <c r="E9" s="301"/>
      <c r="F9" s="301">
        <v>1</v>
      </c>
      <c r="G9" s="301"/>
      <c r="H9" s="301"/>
      <c r="I9" s="515">
        <v>40398</v>
      </c>
    </row>
    <row r="10" spans="1:9" s="53" customFormat="1" ht="15" customHeight="1">
      <c r="A10" s="536"/>
      <c r="B10" s="300" t="s">
        <v>144</v>
      </c>
      <c r="C10" s="392">
        <v>4</v>
      </c>
      <c r="D10" s="301"/>
      <c r="E10" s="301"/>
      <c r="F10" s="301"/>
      <c r="G10" s="301">
        <v>4</v>
      </c>
      <c r="H10" s="301"/>
      <c r="I10" s="515">
        <v>40339</v>
      </c>
    </row>
    <row r="11" spans="1:9" ht="15" customHeight="1">
      <c r="A11" s="536"/>
      <c r="B11" s="512" t="s">
        <v>281</v>
      </c>
      <c r="C11" s="516">
        <v>1</v>
      </c>
      <c r="D11" s="512"/>
      <c r="E11" s="512">
        <v>1</v>
      </c>
      <c r="F11" s="512">
        <v>1</v>
      </c>
      <c r="G11" s="512"/>
      <c r="H11" s="512"/>
      <c r="I11" s="517">
        <v>40238</v>
      </c>
    </row>
    <row r="12" spans="1:9" ht="15" customHeight="1">
      <c r="A12" s="536"/>
      <c r="B12" s="512" t="s">
        <v>281</v>
      </c>
      <c r="C12" s="516">
        <v>1</v>
      </c>
      <c r="D12" s="512">
        <v>1</v>
      </c>
      <c r="E12" s="512"/>
      <c r="F12" s="512"/>
      <c r="G12" s="512">
        <v>1</v>
      </c>
      <c r="H12" s="512"/>
      <c r="I12" s="517">
        <v>40299</v>
      </c>
    </row>
    <row r="13" spans="1:9" s="72" customFormat="1" ht="15" customHeight="1">
      <c r="A13" s="536"/>
      <c r="B13" s="518" t="s">
        <v>281</v>
      </c>
      <c r="C13" s="516">
        <v>1</v>
      </c>
      <c r="D13" s="362">
        <v>1</v>
      </c>
      <c r="E13" s="362"/>
      <c r="F13" s="362"/>
      <c r="G13" s="362">
        <v>1</v>
      </c>
      <c r="H13" s="516"/>
      <c r="I13" s="513">
        <v>40356</v>
      </c>
    </row>
    <row r="14" spans="1:9" s="72" customFormat="1" ht="15" customHeight="1">
      <c r="A14" s="536"/>
      <c r="B14" s="518" t="s">
        <v>281</v>
      </c>
      <c r="C14" s="516">
        <v>1</v>
      </c>
      <c r="D14" s="362">
        <v>1</v>
      </c>
      <c r="E14" s="362"/>
      <c r="F14" s="362">
        <v>1</v>
      </c>
      <c r="G14" s="362"/>
      <c r="H14" s="513"/>
      <c r="I14" s="513">
        <v>40252</v>
      </c>
    </row>
    <row r="15" spans="1:9" s="72" customFormat="1" ht="15" customHeight="1">
      <c r="A15" s="536"/>
      <c r="B15" s="518" t="s">
        <v>281</v>
      </c>
      <c r="C15" s="516">
        <v>1</v>
      </c>
      <c r="D15" s="362">
        <v>1</v>
      </c>
      <c r="E15" s="362"/>
      <c r="F15" s="362">
        <v>1</v>
      </c>
      <c r="G15" s="362"/>
      <c r="H15" s="516"/>
      <c r="I15" s="513">
        <v>36875</v>
      </c>
    </row>
    <row r="16" spans="1:9" s="72" customFormat="1" ht="15" customHeight="1">
      <c r="A16" s="536"/>
      <c r="B16" s="518" t="s">
        <v>281</v>
      </c>
      <c r="C16" s="516">
        <v>1</v>
      </c>
      <c r="D16" s="362">
        <v>1</v>
      </c>
      <c r="E16" s="362">
        <v>1</v>
      </c>
      <c r="F16" s="362"/>
      <c r="G16" s="362">
        <v>1</v>
      </c>
      <c r="H16" s="516"/>
      <c r="I16" s="513">
        <v>40324</v>
      </c>
    </row>
    <row r="17" spans="1:9" s="161" customFormat="1" ht="15" customHeight="1">
      <c r="A17" s="133" t="s">
        <v>204</v>
      </c>
      <c r="B17" s="113"/>
      <c r="C17" s="112">
        <f>SUM(C9:C16)</f>
        <v>11</v>
      </c>
      <c r="D17" s="121">
        <f>SUM(D9:D16)</f>
        <v>6</v>
      </c>
      <c r="E17" s="121">
        <f>SUM(E9:E16)</f>
        <v>2</v>
      </c>
      <c r="F17" s="121">
        <f>SUM(F9:F16)</f>
        <v>4</v>
      </c>
      <c r="G17" s="121">
        <f>SUM(G9:G16)</f>
        <v>7</v>
      </c>
      <c r="H17" s="112"/>
      <c r="I17" s="112"/>
    </row>
    <row r="18" spans="1:9" s="51" customFormat="1" ht="15" customHeight="1">
      <c r="A18" s="37" t="s">
        <v>27</v>
      </c>
      <c r="B18" s="40"/>
      <c r="C18" s="511"/>
      <c r="D18" s="29"/>
      <c r="E18" s="29"/>
      <c r="F18" s="29"/>
      <c r="G18" s="29"/>
      <c r="H18" s="29"/>
      <c r="I18" s="29"/>
    </row>
    <row r="19" spans="1:9" s="72" customFormat="1" ht="15" customHeight="1">
      <c r="A19" s="536"/>
      <c r="B19" s="518" t="s">
        <v>281</v>
      </c>
      <c r="C19" s="516">
        <v>1</v>
      </c>
      <c r="D19" s="362"/>
      <c r="E19" s="362">
        <v>1</v>
      </c>
      <c r="F19" s="362">
        <v>1</v>
      </c>
      <c r="G19" s="362"/>
      <c r="H19" s="513"/>
      <c r="I19" s="513">
        <v>40239</v>
      </c>
    </row>
    <row r="20" spans="1:9" s="161" customFormat="1" ht="15" customHeight="1">
      <c r="A20" s="133" t="s">
        <v>188</v>
      </c>
      <c r="B20" s="113"/>
      <c r="C20" s="112">
        <v>1</v>
      </c>
      <c r="D20" s="121"/>
      <c r="E20" s="121">
        <f>SUM(E19)</f>
        <v>1</v>
      </c>
      <c r="F20" s="121">
        <f>SUM(F19)</f>
        <v>1</v>
      </c>
      <c r="G20" s="121"/>
      <c r="H20" s="112"/>
      <c r="I20" s="112"/>
    </row>
    <row r="21" spans="1:9" s="51" customFormat="1" ht="15" customHeight="1">
      <c r="A21" s="37" t="s">
        <v>28</v>
      </c>
      <c r="B21" s="40"/>
      <c r="C21" s="511"/>
      <c r="D21" s="29"/>
      <c r="E21" s="29"/>
      <c r="F21" s="29"/>
      <c r="G21" s="29"/>
      <c r="H21" s="29"/>
      <c r="I21" s="29"/>
    </row>
    <row r="22" spans="1:9" s="69" customFormat="1" ht="15" customHeight="1">
      <c r="A22" s="536"/>
      <c r="B22" s="300" t="s">
        <v>146</v>
      </c>
      <c r="C22" s="392">
        <v>2</v>
      </c>
      <c r="D22" s="301"/>
      <c r="E22" s="301">
        <v>2</v>
      </c>
      <c r="F22" s="301"/>
      <c r="G22" s="301">
        <v>2</v>
      </c>
      <c r="H22" s="301"/>
      <c r="I22" s="515">
        <v>40515</v>
      </c>
    </row>
    <row r="23" spans="1:9" s="69" customFormat="1" ht="15" customHeight="1">
      <c r="A23" s="536"/>
      <c r="B23" s="300" t="s">
        <v>281</v>
      </c>
      <c r="C23" s="392">
        <v>1</v>
      </c>
      <c r="D23" s="301"/>
      <c r="E23" s="301"/>
      <c r="F23" s="301"/>
      <c r="G23" s="301">
        <v>1</v>
      </c>
      <c r="H23" s="301"/>
      <c r="I23" s="515">
        <v>40506</v>
      </c>
    </row>
    <row r="24" spans="1:9" s="69" customFormat="1" ht="15" customHeight="1">
      <c r="A24" s="536"/>
      <c r="B24" s="300" t="s">
        <v>281</v>
      </c>
      <c r="C24" s="392">
        <v>1</v>
      </c>
      <c r="D24" s="301"/>
      <c r="E24" s="301"/>
      <c r="F24" s="301"/>
      <c r="G24" s="301">
        <v>1</v>
      </c>
      <c r="H24" s="301"/>
      <c r="I24" s="515">
        <v>40506</v>
      </c>
    </row>
    <row r="25" spans="1:9" s="69" customFormat="1" ht="15" customHeight="1">
      <c r="A25" s="536"/>
      <c r="B25" s="300" t="s">
        <v>145</v>
      </c>
      <c r="C25" s="392">
        <v>4</v>
      </c>
      <c r="D25" s="301"/>
      <c r="E25" s="301"/>
      <c r="F25" s="301"/>
      <c r="G25" s="301">
        <v>4</v>
      </c>
      <c r="H25" s="301"/>
      <c r="I25" s="515">
        <v>40414</v>
      </c>
    </row>
    <row r="26" spans="1:9" s="154" customFormat="1" ht="15" customHeight="1">
      <c r="A26" s="86" t="s">
        <v>67</v>
      </c>
      <c r="B26" s="142"/>
      <c r="C26" s="205">
        <f>SUM(C22:C25)</f>
        <v>8</v>
      </c>
      <c r="D26" s="88"/>
      <c r="E26" s="88">
        <f>SUM(E22:E25)</f>
        <v>2</v>
      </c>
      <c r="F26" s="88"/>
      <c r="G26" s="88">
        <f>SUM(G22:G25)</f>
        <v>8</v>
      </c>
      <c r="H26" s="88"/>
      <c r="I26" s="88"/>
    </row>
    <row r="27" spans="1:9" s="51" customFormat="1" ht="15.75" customHeight="1">
      <c r="A27" s="37" t="s">
        <v>25</v>
      </c>
      <c r="B27" s="40"/>
      <c r="C27" s="511"/>
      <c r="D27" s="29"/>
      <c r="E27" s="29"/>
      <c r="F27" s="29"/>
      <c r="G27" s="29"/>
      <c r="H27" s="29"/>
      <c r="I27" s="29"/>
    </row>
    <row r="28" spans="1:9" s="53" customFormat="1" ht="15" customHeight="1">
      <c r="A28" s="536"/>
      <c r="B28" s="300" t="s">
        <v>281</v>
      </c>
      <c r="C28" s="392">
        <v>1</v>
      </c>
      <c r="D28" s="301">
        <v>1</v>
      </c>
      <c r="E28" s="301"/>
      <c r="F28" s="301"/>
      <c r="G28" s="301">
        <v>1</v>
      </c>
      <c r="H28" s="301"/>
      <c r="I28" s="515">
        <v>40329</v>
      </c>
    </row>
    <row r="29" spans="1:9" s="53" customFormat="1" ht="15" customHeight="1">
      <c r="A29" s="536"/>
      <c r="B29" s="300" t="s">
        <v>281</v>
      </c>
      <c r="C29" s="392">
        <v>1</v>
      </c>
      <c r="D29" s="301"/>
      <c r="E29" s="301">
        <v>1</v>
      </c>
      <c r="F29" s="301"/>
      <c r="G29" s="301">
        <v>1</v>
      </c>
      <c r="H29" s="301"/>
      <c r="I29" s="515">
        <v>40329</v>
      </c>
    </row>
    <row r="30" spans="1:9" s="53" customFormat="1" ht="15" customHeight="1">
      <c r="A30" s="536"/>
      <c r="B30" s="300" t="s">
        <v>281</v>
      </c>
      <c r="C30" s="392">
        <v>1</v>
      </c>
      <c r="D30" s="301"/>
      <c r="E30" s="301">
        <v>1</v>
      </c>
      <c r="F30" s="301"/>
      <c r="G30" s="301">
        <v>1</v>
      </c>
      <c r="H30" s="301"/>
      <c r="I30" s="515">
        <v>40481</v>
      </c>
    </row>
    <row r="31" spans="1:9" s="161" customFormat="1" ht="15" customHeight="1">
      <c r="A31" s="41" t="s">
        <v>174</v>
      </c>
      <c r="B31" s="113"/>
      <c r="C31" s="112">
        <f>SUM(C28:C30)</f>
        <v>3</v>
      </c>
      <c r="D31" s="112">
        <f>SUM(D28:D30)</f>
        <v>1</v>
      </c>
      <c r="E31" s="112">
        <f>SUM(E28:E30)</f>
        <v>2</v>
      </c>
      <c r="F31" s="112"/>
      <c r="G31" s="112">
        <f>SUM(G28:G30)</f>
        <v>3</v>
      </c>
      <c r="H31" s="112"/>
      <c r="I31" s="112"/>
    </row>
    <row r="32" spans="1:9" s="51" customFormat="1" ht="15.75" customHeight="1">
      <c r="A32" s="37" t="s">
        <v>30</v>
      </c>
      <c r="B32" s="40"/>
      <c r="C32" s="511"/>
      <c r="D32" s="29"/>
      <c r="E32" s="29"/>
      <c r="F32" s="29"/>
      <c r="G32" s="29"/>
      <c r="H32" s="29"/>
      <c r="I32" s="29"/>
    </row>
    <row r="33" spans="1:9" s="53" customFormat="1" ht="15" customHeight="1">
      <c r="A33" s="536"/>
      <c r="B33" s="300" t="s">
        <v>141</v>
      </c>
      <c r="C33" s="392">
        <v>1</v>
      </c>
      <c r="D33" s="301"/>
      <c r="E33" s="301">
        <v>1</v>
      </c>
      <c r="F33" s="301"/>
      <c r="G33" s="301">
        <v>1</v>
      </c>
      <c r="H33" s="301"/>
      <c r="I33" s="515">
        <v>40297</v>
      </c>
    </row>
    <row r="34" spans="1:9" s="53" customFormat="1" ht="15" customHeight="1">
      <c r="A34" s="536"/>
      <c r="B34" s="300" t="s">
        <v>143</v>
      </c>
      <c r="C34" s="392">
        <v>3</v>
      </c>
      <c r="D34" s="301"/>
      <c r="E34" s="301">
        <v>3</v>
      </c>
      <c r="F34" s="301"/>
      <c r="G34" s="301">
        <v>3</v>
      </c>
      <c r="H34" s="301"/>
      <c r="I34" s="515">
        <v>40330</v>
      </c>
    </row>
    <row r="35" spans="1:9" s="53" customFormat="1" ht="15" customHeight="1">
      <c r="A35" s="536"/>
      <c r="B35" s="300"/>
      <c r="C35" s="392">
        <v>1</v>
      </c>
      <c r="D35" s="301"/>
      <c r="E35" s="301"/>
      <c r="F35" s="301"/>
      <c r="G35" s="301">
        <v>1</v>
      </c>
      <c r="H35" s="301"/>
      <c r="I35" s="515">
        <v>40380</v>
      </c>
    </row>
    <row r="36" spans="1:9" s="53" customFormat="1" ht="15" customHeight="1">
      <c r="A36" s="536"/>
      <c r="B36" s="300" t="s">
        <v>80</v>
      </c>
      <c r="C36" s="392">
        <v>1</v>
      </c>
      <c r="D36" s="301">
        <v>1</v>
      </c>
      <c r="E36" s="301"/>
      <c r="F36" s="301"/>
      <c r="G36" s="301">
        <v>1</v>
      </c>
      <c r="H36" s="301"/>
      <c r="I36" s="515">
        <v>40299</v>
      </c>
    </row>
    <row r="37" spans="1:9" s="161" customFormat="1" ht="15" customHeight="1">
      <c r="A37" s="41" t="s">
        <v>140</v>
      </c>
      <c r="B37" s="113"/>
      <c r="C37" s="112">
        <f>SUM(C33:C36)</f>
        <v>6</v>
      </c>
      <c r="D37" s="112">
        <f>SUM(D36)</f>
        <v>1</v>
      </c>
      <c r="E37" s="112">
        <f>SUM(E33:E36)</f>
        <v>4</v>
      </c>
      <c r="F37" s="112"/>
      <c r="G37" s="112">
        <f>SUM(G33:G36)</f>
        <v>6</v>
      </c>
      <c r="H37" s="112"/>
      <c r="I37" s="112"/>
    </row>
    <row r="38" spans="1:9" s="51" customFormat="1" ht="15" customHeight="1">
      <c r="A38" s="37" t="s">
        <v>31</v>
      </c>
      <c r="B38" s="40"/>
      <c r="C38" s="511"/>
      <c r="D38" s="29"/>
      <c r="E38" s="29"/>
      <c r="F38" s="29"/>
      <c r="G38" s="29"/>
      <c r="H38" s="29"/>
      <c r="I38" s="29"/>
    </row>
    <row r="39" spans="1:9" s="69" customFormat="1" ht="15" customHeight="1">
      <c r="A39" s="536"/>
      <c r="B39" s="300" t="s">
        <v>281</v>
      </c>
      <c r="C39" s="392">
        <v>1</v>
      </c>
      <c r="D39" s="301"/>
      <c r="E39" s="301"/>
      <c r="F39" s="301"/>
      <c r="G39" s="301">
        <v>1</v>
      </c>
      <c r="H39" s="301"/>
      <c r="I39" s="515">
        <v>40326</v>
      </c>
    </row>
    <row r="40" spans="1:9" s="154" customFormat="1" ht="15" customHeight="1">
      <c r="A40" s="86" t="s">
        <v>223</v>
      </c>
      <c r="B40" s="142"/>
      <c r="C40" s="205">
        <f>SUM(C39)</f>
        <v>1</v>
      </c>
      <c r="D40" s="88"/>
      <c r="E40" s="88"/>
      <c r="F40" s="88"/>
      <c r="G40" s="88">
        <f>SUM(G39)</f>
        <v>1</v>
      </c>
      <c r="H40" s="88"/>
      <c r="I40" s="88"/>
    </row>
    <row r="41" spans="1:9" s="51" customFormat="1" ht="15" customHeight="1">
      <c r="A41" s="37" t="s">
        <v>32</v>
      </c>
      <c r="B41" s="40"/>
      <c r="C41" s="511"/>
      <c r="D41" s="29"/>
      <c r="E41" s="29"/>
      <c r="F41" s="29"/>
      <c r="G41" s="29"/>
      <c r="H41" s="29"/>
      <c r="I41" s="29"/>
    </row>
    <row r="42" spans="1:9" s="53" customFormat="1" ht="15" customHeight="1">
      <c r="A42" s="536"/>
      <c r="B42" s="300" t="s">
        <v>81</v>
      </c>
      <c r="C42" s="392">
        <v>2</v>
      </c>
      <c r="D42" s="301">
        <v>1</v>
      </c>
      <c r="E42" s="301">
        <v>1</v>
      </c>
      <c r="F42" s="301"/>
      <c r="G42" s="301">
        <v>2</v>
      </c>
      <c r="H42" s="301"/>
      <c r="I42" s="515">
        <v>40514</v>
      </c>
    </row>
    <row r="43" spans="1:9" s="53" customFormat="1" ht="15" customHeight="1">
      <c r="A43" s="536"/>
      <c r="B43" s="300" t="s">
        <v>281</v>
      </c>
      <c r="C43" s="392">
        <v>1</v>
      </c>
      <c r="D43" s="301"/>
      <c r="E43" s="301">
        <v>1</v>
      </c>
      <c r="F43" s="301"/>
      <c r="G43" s="301">
        <v>1</v>
      </c>
      <c r="H43" s="301"/>
      <c r="I43" s="515">
        <v>40351</v>
      </c>
    </row>
    <row r="44" spans="1:9" s="53" customFormat="1" ht="15" customHeight="1">
      <c r="A44" s="536"/>
      <c r="B44" s="300" t="s">
        <v>281</v>
      </c>
      <c r="C44" s="392">
        <v>1</v>
      </c>
      <c r="D44" s="301">
        <v>1</v>
      </c>
      <c r="E44" s="301"/>
      <c r="F44" s="301"/>
      <c r="G44" s="301">
        <v>1</v>
      </c>
      <c r="H44" s="301"/>
      <c r="I44" s="515">
        <v>40351</v>
      </c>
    </row>
    <row r="45" spans="1:9" ht="15" customHeight="1">
      <c r="A45" s="536"/>
      <c r="B45" s="300" t="s">
        <v>281</v>
      </c>
      <c r="C45" s="392">
        <v>1</v>
      </c>
      <c r="D45" s="512"/>
      <c r="E45" s="512">
        <v>1</v>
      </c>
      <c r="F45" s="512">
        <v>1</v>
      </c>
      <c r="G45" s="512"/>
      <c r="H45" s="512"/>
      <c r="I45" s="517">
        <v>40299</v>
      </c>
    </row>
    <row r="46" spans="1:9" s="165" customFormat="1" ht="15" customHeight="1">
      <c r="A46" s="86" t="s">
        <v>83</v>
      </c>
      <c r="B46" s="111"/>
      <c r="C46" s="112">
        <f>SUM(C42:C45)</f>
        <v>5</v>
      </c>
      <c r="D46" s="111">
        <f>SUM(D42:D45)</f>
        <v>2</v>
      </c>
      <c r="E46" s="111">
        <f>SUM(E42:E45)</f>
        <v>3</v>
      </c>
      <c r="F46" s="111">
        <f>SUM(F45)</f>
        <v>1</v>
      </c>
      <c r="G46" s="111">
        <f>SUM(G42:G45)</f>
        <v>4</v>
      </c>
      <c r="H46" s="111"/>
      <c r="I46" s="111"/>
    </row>
    <row r="47" spans="1:9" s="165" customFormat="1" ht="15" customHeight="1">
      <c r="A47" s="39" t="s">
        <v>181</v>
      </c>
      <c r="B47" s="102"/>
      <c r="C47" s="180">
        <f>C46+C40+C37+C31+C26+C20+C17+C7</f>
        <v>38</v>
      </c>
      <c r="D47" s="103"/>
      <c r="E47" s="103"/>
      <c r="F47" s="102"/>
      <c r="G47" s="102"/>
      <c r="H47" s="102"/>
      <c r="I47" s="102"/>
    </row>
  </sheetData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7"/>
  </sheetPr>
  <dimension ref="A1:IQ346"/>
  <sheetViews>
    <sheetView workbookViewId="0" topLeftCell="A1">
      <selection activeCell="A360" sqref="A360"/>
    </sheetView>
  </sheetViews>
  <sheetFormatPr defaultColWidth="9.140625" defaultRowHeight="12.75"/>
  <cols>
    <col min="1" max="1" width="48.28125" style="56" customWidth="1"/>
    <col min="2" max="2" width="13.7109375" style="33" customWidth="1"/>
    <col min="3" max="3" width="23.7109375" style="33" customWidth="1"/>
    <col min="4" max="4" width="53.140625" style="54" customWidth="1"/>
    <col min="5" max="16384" width="11.57421875" style="54" customWidth="1"/>
  </cols>
  <sheetData>
    <row r="1" spans="1:5" ht="30" customHeight="1">
      <c r="A1" s="548" t="s">
        <v>283</v>
      </c>
      <c r="B1" s="549"/>
      <c r="C1" s="549"/>
      <c r="D1" s="550"/>
      <c r="E1" s="56"/>
    </row>
    <row r="2" spans="1:4" s="135" customFormat="1" ht="43.5" customHeight="1">
      <c r="A2" s="551" t="s">
        <v>238</v>
      </c>
      <c r="B2" s="551"/>
      <c r="C2" s="551"/>
      <c r="D2" s="551"/>
    </row>
    <row r="3" spans="1:4" s="33" customFormat="1" ht="15" customHeight="1">
      <c r="A3" s="42" t="s">
        <v>12</v>
      </c>
      <c r="B3" s="29" t="s">
        <v>160</v>
      </c>
      <c r="C3" s="29" t="s">
        <v>163</v>
      </c>
      <c r="D3" s="42" t="s">
        <v>269</v>
      </c>
    </row>
    <row r="4" spans="1:4" s="51" customFormat="1" ht="15" customHeight="1">
      <c r="A4" s="37" t="s">
        <v>26</v>
      </c>
      <c r="B4" s="29"/>
      <c r="C4" s="29"/>
      <c r="D4" s="40"/>
    </row>
    <row r="5" spans="1:4" s="73" customFormat="1" ht="15" customHeight="1">
      <c r="A5" s="536"/>
      <c r="B5" s="300">
        <v>1</v>
      </c>
      <c r="C5" s="300"/>
      <c r="D5" s="300" t="s">
        <v>96</v>
      </c>
    </row>
    <row r="6" spans="1:4" s="73" customFormat="1" ht="15" customHeight="1">
      <c r="A6" s="536"/>
      <c r="B6" s="300">
        <v>1</v>
      </c>
      <c r="C6" s="300">
        <v>2002</v>
      </c>
      <c r="D6" s="300" t="s">
        <v>96</v>
      </c>
    </row>
    <row r="7" spans="1:4" s="73" customFormat="1" ht="15" customHeight="1">
      <c r="A7" s="536"/>
      <c r="B7" s="300">
        <v>1</v>
      </c>
      <c r="C7" s="300"/>
      <c r="D7" s="300" t="s">
        <v>96</v>
      </c>
    </row>
    <row r="8" spans="1:4" s="73" customFormat="1" ht="15" customHeight="1">
      <c r="A8" s="536"/>
      <c r="B8" s="300">
        <v>1</v>
      </c>
      <c r="C8" s="300">
        <v>2007</v>
      </c>
      <c r="D8" s="300" t="s">
        <v>96</v>
      </c>
    </row>
    <row r="9" spans="1:4" s="136" customFormat="1" ht="15" customHeight="1">
      <c r="A9" s="86" t="s">
        <v>39</v>
      </c>
      <c r="B9" s="111">
        <f>SUM(B5:B8)</f>
        <v>4</v>
      </c>
      <c r="C9" s="102"/>
      <c r="D9" s="102"/>
    </row>
    <row r="10" spans="1:4" s="73" customFormat="1" ht="15" customHeight="1">
      <c r="A10" s="536"/>
      <c r="B10" s="300">
        <v>1</v>
      </c>
      <c r="C10" s="300">
        <v>2001</v>
      </c>
      <c r="D10" s="300" t="s">
        <v>98</v>
      </c>
    </row>
    <row r="11" spans="1:4" s="73" customFormat="1" ht="15" customHeight="1">
      <c r="A11" s="536"/>
      <c r="B11" s="300">
        <v>1</v>
      </c>
      <c r="C11" s="300">
        <v>1996</v>
      </c>
      <c r="D11" s="300" t="s">
        <v>98</v>
      </c>
    </row>
    <row r="12" spans="1:4" s="73" customFormat="1" ht="15" customHeight="1">
      <c r="A12" s="536"/>
      <c r="B12" s="300">
        <v>1</v>
      </c>
      <c r="C12" s="300">
        <v>2004</v>
      </c>
      <c r="D12" s="300" t="s">
        <v>98</v>
      </c>
    </row>
    <row r="13" spans="1:4" s="73" customFormat="1" ht="15" customHeight="1">
      <c r="A13" s="536"/>
      <c r="B13" s="300">
        <v>1</v>
      </c>
      <c r="C13" s="300"/>
      <c r="D13" s="300" t="s">
        <v>98</v>
      </c>
    </row>
    <row r="14" spans="1:4" s="73" customFormat="1" ht="15" customHeight="1">
      <c r="A14" s="536"/>
      <c r="B14" s="300">
        <v>1</v>
      </c>
      <c r="C14" s="300">
        <v>1999</v>
      </c>
      <c r="D14" s="300" t="s">
        <v>98</v>
      </c>
    </row>
    <row r="15" spans="1:4" s="73" customFormat="1" ht="15" customHeight="1">
      <c r="A15" s="536"/>
      <c r="B15" s="300">
        <v>1</v>
      </c>
      <c r="C15" s="300">
        <v>1994</v>
      </c>
      <c r="D15" s="300" t="s">
        <v>98</v>
      </c>
    </row>
    <row r="16" spans="1:4" s="73" customFormat="1" ht="15" customHeight="1">
      <c r="A16" s="536"/>
      <c r="B16" s="300">
        <v>1</v>
      </c>
      <c r="C16" s="300">
        <v>1998</v>
      </c>
      <c r="D16" s="300" t="s">
        <v>98</v>
      </c>
    </row>
    <row r="17" spans="1:4" s="73" customFormat="1" ht="15" customHeight="1">
      <c r="A17" s="536"/>
      <c r="B17" s="300">
        <v>1</v>
      </c>
      <c r="C17" s="300">
        <v>2007</v>
      </c>
      <c r="D17" s="300" t="s">
        <v>98</v>
      </c>
    </row>
    <row r="18" spans="1:4" s="73" customFormat="1" ht="15" customHeight="1">
      <c r="A18" s="536"/>
      <c r="B18" s="300">
        <v>1</v>
      </c>
      <c r="C18" s="300">
        <v>2002</v>
      </c>
      <c r="D18" s="300" t="s">
        <v>98</v>
      </c>
    </row>
    <row r="19" spans="1:4" s="73" customFormat="1" ht="15" customHeight="1">
      <c r="A19" s="536"/>
      <c r="B19" s="300">
        <v>1</v>
      </c>
      <c r="C19" s="300"/>
      <c r="D19" s="300" t="s">
        <v>98</v>
      </c>
    </row>
    <row r="20" spans="1:4" s="73" customFormat="1" ht="15" customHeight="1">
      <c r="A20" s="536"/>
      <c r="B20" s="300">
        <v>1</v>
      </c>
      <c r="C20" s="300">
        <v>1997</v>
      </c>
      <c r="D20" s="300" t="s">
        <v>98</v>
      </c>
    </row>
    <row r="21" spans="1:4" s="73" customFormat="1" ht="15" customHeight="1">
      <c r="A21" s="536"/>
      <c r="B21" s="300">
        <v>1</v>
      </c>
      <c r="C21" s="300">
        <v>2007</v>
      </c>
      <c r="D21" s="300" t="s">
        <v>98</v>
      </c>
    </row>
    <row r="22" spans="1:4" s="73" customFormat="1" ht="15" customHeight="1">
      <c r="A22" s="536"/>
      <c r="B22" s="300">
        <v>1</v>
      </c>
      <c r="C22" s="300">
        <v>1995</v>
      </c>
      <c r="D22" s="424" t="s">
        <v>98</v>
      </c>
    </row>
    <row r="23" spans="1:4" s="73" customFormat="1" ht="15" customHeight="1">
      <c r="A23" s="536"/>
      <c r="B23" s="300">
        <v>1</v>
      </c>
      <c r="C23" s="300">
        <v>1999</v>
      </c>
      <c r="D23" s="300" t="s">
        <v>98</v>
      </c>
    </row>
    <row r="24" spans="1:4" s="73" customFormat="1" ht="15" customHeight="1">
      <c r="A24" s="536"/>
      <c r="B24" s="300">
        <v>1</v>
      </c>
      <c r="C24" s="300">
        <v>1999</v>
      </c>
      <c r="D24" s="300" t="s">
        <v>98</v>
      </c>
    </row>
    <row r="25" spans="1:4" s="136" customFormat="1" ht="15" customHeight="1">
      <c r="A25" s="86" t="s">
        <v>229</v>
      </c>
      <c r="B25" s="111">
        <f>SUM(B10:B24)</f>
        <v>15</v>
      </c>
      <c r="C25" s="111"/>
      <c r="D25" s="111"/>
    </row>
    <row r="26" spans="1:4" s="73" customFormat="1" ht="15" customHeight="1">
      <c r="A26" s="536"/>
      <c r="B26" s="300">
        <v>1</v>
      </c>
      <c r="C26" s="300"/>
      <c r="D26" s="300" t="s">
        <v>100</v>
      </c>
    </row>
    <row r="27" spans="1:4" s="73" customFormat="1" ht="15" customHeight="1">
      <c r="A27" s="536"/>
      <c r="B27" s="300">
        <v>1</v>
      </c>
      <c r="C27" s="300">
        <v>2007</v>
      </c>
      <c r="D27" s="300" t="s">
        <v>100</v>
      </c>
    </row>
    <row r="28" spans="1:4" s="73" customFormat="1" ht="15" customHeight="1">
      <c r="A28" s="536"/>
      <c r="B28" s="300">
        <v>1</v>
      </c>
      <c r="C28" s="300"/>
      <c r="D28" s="300" t="s">
        <v>100</v>
      </c>
    </row>
    <row r="29" spans="1:4" s="73" customFormat="1" ht="15" customHeight="1">
      <c r="A29" s="536"/>
      <c r="B29" s="300">
        <v>1</v>
      </c>
      <c r="C29" s="300">
        <v>2001</v>
      </c>
      <c r="D29" s="300" t="s">
        <v>100</v>
      </c>
    </row>
    <row r="30" spans="1:4" s="73" customFormat="1" ht="15" customHeight="1">
      <c r="A30" s="536"/>
      <c r="B30" s="300">
        <v>1</v>
      </c>
      <c r="C30" s="300">
        <v>1995</v>
      </c>
      <c r="D30" s="300" t="s">
        <v>100</v>
      </c>
    </row>
    <row r="31" spans="1:4" s="73" customFormat="1" ht="15" customHeight="1">
      <c r="A31" s="536"/>
      <c r="B31" s="300">
        <v>1</v>
      </c>
      <c r="C31" s="300"/>
      <c r="D31" s="300" t="s">
        <v>100</v>
      </c>
    </row>
    <row r="32" spans="1:4" s="73" customFormat="1" ht="15" customHeight="1">
      <c r="A32" s="536"/>
      <c r="B32" s="300">
        <v>1</v>
      </c>
      <c r="C32" s="300">
        <v>1996</v>
      </c>
      <c r="D32" s="300" t="s">
        <v>100</v>
      </c>
    </row>
    <row r="33" spans="1:4" s="73" customFormat="1" ht="15" customHeight="1">
      <c r="A33" s="536"/>
      <c r="B33" s="300">
        <v>1</v>
      </c>
      <c r="C33" s="300">
        <v>2005</v>
      </c>
      <c r="D33" s="300" t="s">
        <v>100</v>
      </c>
    </row>
    <row r="34" spans="1:4" s="73" customFormat="1" ht="15" customHeight="1">
      <c r="A34" s="536"/>
      <c r="B34" s="300">
        <v>1</v>
      </c>
      <c r="C34" s="300">
        <v>1994</v>
      </c>
      <c r="D34" s="300" t="s">
        <v>100</v>
      </c>
    </row>
    <row r="35" spans="1:4" s="73" customFormat="1" ht="15" customHeight="1">
      <c r="A35" s="536"/>
      <c r="B35" s="300">
        <v>1</v>
      </c>
      <c r="C35" s="300">
        <v>2000</v>
      </c>
      <c r="D35" s="300" t="s">
        <v>100</v>
      </c>
    </row>
    <row r="36" spans="1:4" s="73" customFormat="1" ht="15" customHeight="1">
      <c r="A36" s="536"/>
      <c r="B36" s="300">
        <v>1</v>
      </c>
      <c r="C36" s="300">
        <v>2001</v>
      </c>
      <c r="D36" s="300" t="s">
        <v>100</v>
      </c>
    </row>
    <row r="37" spans="1:4" s="73" customFormat="1" ht="15" customHeight="1">
      <c r="A37" s="536"/>
      <c r="B37" s="300">
        <v>1</v>
      </c>
      <c r="C37" s="300">
        <v>2008</v>
      </c>
      <c r="D37" s="300" t="s">
        <v>100</v>
      </c>
    </row>
    <row r="38" spans="1:4" s="73" customFormat="1" ht="15" customHeight="1">
      <c r="A38" s="536"/>
      <c r="B38" s="300">
        <v>1</v>
      </c>
      <c r="C38" s="300"/>
      <c r="D38" s="300" t="s">
        <v>100</v>
      </c>
    </row>
    <row r="39" spans="1:4" s="73" customFormat="1" ht="15" customHeight="1">
      <c r="A39" s="536"/>
      <c r="B39" s="300">
        <v>1</v>
      </c>
      <c r="C39" s="300">
        <v>1996</v>
      </c>
      <c r="D39" s="300" t="s">
        <v>100</v>
      </c>
    </row>
    <row r="40" spans="1:4" s="136" customFormat="1" ht="15" customHeight="1">
      <c r="A40" s="86" t="s">
        <v>45</v>
      </c>
      <c r="B40" s="111">
        <f>SUM(B26:B39)</f>
        <v>14</v>
      </c>
      <c r="C40" s="111"/>
      <c r="D40" s="111"/>
    </row>
    <row r="41" spans="1:4" s="52" customFormat="1" ht="15" customHeight="1">
      <c r="A41" s="41" t="s">
        <v>40</v>
      </c>
      <c r="B41" s="111">
        <f>B9+B25+B40</f>
        <v>33</v>
      </c>
      <c r="C41" s="111"/>
      <c r="D41" s="111"/>
    </row>
    <row r="42" spans="1:4" s="51" customFormat="1" ht="15" customHeight="1">
      <c r="A42" s="37" t="s">
        <v>24</v>
      </c>
      <c r="B42" s="29"/>
      <c r="C42" s="29"/>
      <c r="D42" s="42"/>
    </row>
    <row r="43" spans="1:4" s="73" customFormat="1" ht="15" customHeight="1">
      <c r="A43" s="536"/>
      <c r="B43" s="300">
        <v>1</v>
      </c>
      <c r="C43" s="300">
        <v>2009</v>
      </c>
      <c r="D43" s="300" t="s">
        <v>96</v>
      </c>
    </row>
    <row r="44" spans="1:4" s="73" customFormat="1" ht="15" customHeight="1">
      <c r="A44" s="536"/>
      <c r="B44" s="300">
        <v>1</v>
      </c>
      <c r="C44" s="300">
        <v>2010</v>
      </c>
      <c r="D44" s="300" t="s">
        <v>96</v>
      </c>
    </row>
    <row r="45" spans="1:4" s="73" customFormat="1" ht="15" customHeight="1">
      <c r="A45" s="536"/>
      <c r="B45" s="300">
        <v>1</v>
      </c>
      <c r="C45" s="300"/>
      <c r="D45" s="300" t="s">
        <v>260</v>
      </c>
    </row>
    <row r="46" spans="1:4" s="81" customFormat="1" ht="15" customHeight="1">
      <c r="A46" s="536"/>
      <c r="B46" s="300">
        <v>1</v>
      </c>
      <c r="C46" s="300">
        <v>2002</v>
      </c>
      <c r="D46" s="300" t="s">
        <v>96</v>
      </c>
    </row>
    <row r="47" spans="1:4" s="81" customFormat="1" ht="15" customHeight="1">
      <c r="A47" s="536"/>
      <c r="B47" s="300">
        <v>1</v>
      </c>
      <c r="C47" s="300"/>
      <c r="D47" s="300" t="s">
        <v>96</v>
      </c>
    </row>
    <row r="48" spans="1:4" s="81" customFormat="1" ht="15" customHeight="1">
      <c r="A48" s="536"/>
      <c r="B48" s="300">
        <v>1</v>
      </c>
      <c r="C48" s="300">
        <v>1994</v>
      </c>
      <c r="D48" s="300" t="s">
        <v>96</v>
      </c>
    </row>
    <row r="49" spans="1:4" s="81" customFormat="1" ht="15" customHeight="1">
      <c r="A49" s="536"/>
      <c r="B49" s="300">
        <v>1</v>
      </c>
      <c r="C49" s="300">
        <v>1999</v>
      </c>
      <c r="D49" s="300" t="s">
        <v>96</v>
      </c>
    </row>
    <row r="50" spans="1:4" s="81" customFormat="1" ht="15" customHeight="1">
      <c r="A50" s="536"/>
      <c r="B50" s="300">
        <v>1</v>
      </c>
      <c r="C50" s="300">
        <v>2007</v>
      </c>
      <c r="D50" s="300" t="s">
        <v>96</v>
      </c>
    </row>
    <row r="51" spans="1:4" s="81" customFormat="1" ht="15" customHeight="1">
      <c r="A51" s="536"/>
      <c r="B51" s="300">
        <v>1</v>
      </c>
      <c r="C51" s="300">
        <v>1995</v>
      </c>
      <c r="D51" s="300" t="s">
        <v>96</v>
      </c>
    </row>
    <row r="52" spans="1:4" s="81" customFormat="1" ht="15" customHeight="1">
      <c r="A52" s="536"/>
      <c r="B52" s="300">
        <v>1</v>
      </c>
      <c r="C52" s="300">
        <v>2005</v>
      </c>
      <c r="D52" s="300" t="s">
        <v>96</v>
      </c>
    </row>
    <row r="53" spans="1:4" s="81" customFormat="1" ht="15" customHeight="1">
      <c r="A53" s="536"/>
      <c r="B53" s="300">
        <v>1</v>
      </c>
      <c r="C53" s="300"/>
      <c r="D53" s="300" t="s">
        <v>260</v>
      </c>
    </row>
    <row r="54" spans="1:4" s="81" customFormat="1" ht="15" customHeight="1">
      <c r="A54" s="536"/>
      <c r="B54" s="300">
        <v>1</v>
      </c>
      <c r="C54" s="300">
        <v>1994</v>
      </c>
      <c r="D54" s="300" t="s">
        <v>96</v>
      </c>
    </row>
    <row r="55" spans="1:4" s="81" customFormat="1" ht="15" customHeight="1">
      <c r="A55" s="536"/>
      <c r="B55" s="300">
        <v>1</v>
      </c>
      <c r="C55" s="300">
        <v>2010</v>
      </c>
      <c r="D55" s="300" t="s">
        <v>96</v>
      </c>
    </row>
    <row r="56" spans="1:4" s="81" customFormat="1" ht="15" customHeight="1">
      <c r="A56" s="536"/>
      <c r="B56" s="300">
        <v>1</v>
      </c>
      <c r="C56" s="300">
        <v>1994</v>
      </c>
      <c r="D56" s="300" t="s">
        <v>96</v>
      </c>
    </row>
    <row r="57" spans="1:4" s="81" customFormat="1" ht="15" customHeight="1">
      <c r="A57" s="536"/>
      <c r="B57" s="300">
        <v>1</v>
      </c>
      <c r="C57" s="300"/>
      <c r="D57" s="300" t="s">
        <v>260</v>
      </c>
    </row>
    <row r="58" spans="1:4" s="136" customFormat="1" ht="15" customHeight="1">
      <c r="A58" s="86" t="s">
        <v>39</v>
      </c>
      <c r="B58" s="111">
        <f>SUM(B43:B57)</f>
        <v>15</v>
      </c>
      <c r="C58" s="111"/>
      <c r="D58" s="111"/>
    </row>
    <row r="59" spans="1:4" s="73" customFormat="1" ht="15" customHeight="1">
      <c r="A59" s="536"/>
      <c r="B59" s="300">
        <v>1</v>
      </c>
      <c r="C59" s="300">
        <v>1995</v>
      </c>
      <c r="D59" s="300" t="s">
        <v>98</v>
      </c>
    </row>
    <row r="60" spans="1:4" s="81" customFormat="1" ht="15" customHeight="1">
      <c r="A60" s="536"/>
      <c r="B60" s="300">
        <v>1</v>
      </c>
      <c r="C60" s="300">
        <v>2004</v>
      </c>
      <c r="D60" s="300" t="s">
        <v>98</v>
      </c>
    </row>
    <row r="61" spans="1:4" s="81" customFormat="1" ht="15" customHeight="1">
      <c r="A61" s="536"/>
      <c r="B61" s="300">
        <v>1</v>
      </c>
      <c r="C61" s="300">
        <v>1996</v>
      </c>
      <c r="D61" s="300" t="s">
        <v>98</v>
      </c>
    </row>
    <row r="62" spans="1:4" s="81" customFormat="1" ht="15" customHeight="1">
      <c r="A62" s="536"/>
      <c r="B62" s="300">
        <v>1</v>
      </c>
      <c r="C62" s="300">
        <v>1993</v>
      </c>
      <c r="D62" s="300" t="s">
        <v>98</v>
      </c>
    </row>
    <row r="63" spans="1:4" s="81" customFormat="1" ht="15" customHeight="1">
      <c r="A63" s="536"/>
      <c r="B63" s="300">
        <v>1</v>
      </c>
      <c r="C63" s="300"/>
      <c r="D63" s="300" t="s">
        <v>98</v>
      </c>
    </row>
    <row r="64" spans="1:4" s="81" customFormat="1" ht="15" customHeight="1">
      <c r="A64" s="536"/>
      <c r="B64" s="300">
        <v>1</v>
      </c>
      <c r="C64" s="300"/>
      <c r="D64" s="519" t="s">
        <v>227</v>
      </c>
    </row>
    <row r="65" spans="1:4" s="81" customFormat="1" ht="15" customHeight="1">
      <c r="A65" s="536"/>
      <c r="B65" s="300">
        <v>1</v>
      </c>
      <c r="C65" s="300"/>
      <c r="D65" s="300" t="s">
        <v>98</v>
      </c>
    </row>
    <row r="66" spans="1:4" s="81" customFormat="1" ht="15" customHeight="1">
      <c r="A66" s="536"/>
      <c r="B66" s="300">
        <v>1</v>
      </c>
      <c r="C66" s="300">
        <v>2001</v>
      </c>
      <c r="D66" s="300" t="s">
        <v>98</v>
      </c>
    </row>
    <row r="67" spans="1:4" s="81" customFormat="1" ht="15" customHeight="1">
      <c r="A67" s="536"/>
      <c r="B67" s="300">
        <v>1</v>
      </c>
      <c r="C67" s="300">
        <v>1996</v>
      </c>
      <c r="D67" s="300" t="s">
        <v>98</v>
      </c>
    </row>
    <row r="68" spans="1:4" s="81" customFormat="1" ht="15" customHeight="1">
      <c r="A68" s="536"/>
      <c r="B68" s="300">
        <v>1</v>
      </c>
      <c r="C68" s="300">
        <v>1993</v>
      </c>
      <c r="D68" s="300" t="s">
        <v>98</v>
      </c>
    </row>
    <row r="69" spans="1:4" s="81" customFormat="1" ht="15" customHeight="1">
      <c r="A69" s="536"/>
      <c r="B69" s="300">
        <v>1</v>
      </c>
      <c r="C69" s="300">
        <v>2007</v>
      </c>
      <c r="D69" s="300" t="s">
        <v>98</v>
      </c>
    </row>
    <row r="70" spans="1:4" s="81" customFormat="1" ht="15" customHeight="1">
      <c r="A70" s="536"/>
      <c r="B70" s="300">
        <v>1</v>
      </c>
      <c r="C70" s="300">
        <v>1994</v>
      </c>
      <c r="D70" s="300" t="s">
        <v>98</v>
      </c>
    </row>
    <row r="71" spans="1:4" s="81" customFormat="1" ht="15" customHeight="1">
      <c r="A71" s="536"/>
      <c r="B71" s="300">
        <v>1</v>
      </c>
      <c r="C71" s="300">
        <v>2007</v>
      </c>
      <c r="D71" s="300" t="s">
        <v>98</v>
      </c>
    </row>
    <row r="72" spans="1:4" s="81" customFormat="1" ht="15" customHeight="1">
      <c r="A72" s="536"/>
      <c r="B72" s="300">
        <v>1</v>
      </c>
      <c r="C72" s="300">
        <v>1995</v>
      </c>
      <c r="D72" s="300" t="s">
        <v>98</v>
      </c>
    </row>
    <row r="73" spans="1:4" s="81" customFormat="1" ht="15" customHeight="1">
      <c r="A73" s="536"/>
      <c r="B73" s="300">
        <v>1</v>
      </c>
      <c r="C73" s="300"/>
      <c r="D73" s="300" t="s">
        <v>98</v>
      </c>
    </row>
    <row r="74" spans="1:4" s="81" customFormat="1" ht="15" customHeight="1">
      <c r="A74" s="536"/>
      <c r="B74" s="300">
        <v>1</v>
      </c>
      <c r="C74" s="300"/>
      <c r="D74" s="300" t="s">
        <v>98</v>
      </c>
    </row>
    <row r="75" spans="1:4" s="81" customFormat="1" ht="15" customHeight="1">
      <c r="A75" s="536"/>
      <c r="B75" s="300">
        <v>1</v>
      </c>
      <c r="C75" s="300"/>
      <c r="D75" s="300" t="s">
        <v>98</v>
      </c>
    </row>
    <row r="76" spans="1:4" s="81" customFormat="1" ht="15" customHeight="1">
      <c r="A76" s="536"/>
      <c r="B76" s="300">
        <v>1</v>
      </c>
      <c r="C76" s="300">
        <v>2006</v>
      </c>
      <c r="D76" s="300" t="s">
        <v>98</v>
      </c>
    </row>
    <row r="77" spans="1:4" s="81" customFormat="1" ht="15" customHeight="1">
      <c r="A77" s="536"/>
      <c r="B77" s="300">
        <v>1</v>
      </c>
      <c r="C77" s="300">
        <v>2008</v>
      </c>
      <c r="D77" s="300" t="s">
        <v>98</v>
      </c>
    </row>
    <row r="78" spans="1:4" s="81" customFormat="1" ht="15" customHeight="1">
      <c r="A78" s="536"/>
      <c r="B78" s="300">
        <v>1</v>
      </c>
      <c r="C78" s="300">
        <v>2006</v>
      </c>
      <c r="D78" s="300" t="s">
        <v>98</v>
      </c>
    </row>
    <row r="79" spans="1:4" s="81" customFormat="1" ht="15" customHeight="1">
      <c r="A79" s="536"/>
      <c r="B79" s="300">
        <v>1</v>
      </c>
      <c r="C79" s="300">
        <v>1998</v>
      </c>
      <c r="D79" s="300" t="s">
        <v>98</v>
      </c>
    </row>
    <row r="80" spans="1:4" s="81" customFormat="1" ht="15" customHeight="1">
      <c r="A80" s="536"/>
      <c r="B80" s="300">
        <v>1</v>
      </c>
      <c r="C80" s="300">
        <v>2001</v>
      </c>
      <c r="D80" s="300" t="s">
        <v>98</v>
      </c>
    </row>
    <row r="81" spans="1:4" s="81" customFormat="1" ht="15" customHeight="1">
      <c r="A81" s="536"/>
      <c r="B81" s="300">
        <v>1</v>
      </c>
      <c r="C81" s="300">
        <v>1997</v>
      </c>
      <c r="D81" s="300" t="s">
        <v>98</v>
      </c>
    </row>
    <row r="82" spans="1:4" s="81" customFormat="1" ht="15" customHeight="1">
      <c r="A82" s="536"/>
      <c r="B82" s="300">
        <v>1</v>
      </c>
      <c r="C82" s="300">
        <v>1994</v>
      </c>
      <c r="D82" s="300" t="s">
        <v>98</v>
      </c>
    </row>
    <row r="83" spans="1:4" s="81" customFormat="1" ht="15" customHeight="1">
      <c r="A83" s="536"/>
      <c r="B83" s="300">
        <v>1</v>
      </c>
      <c r="C83" s="300"/>
      <c r="D83" s="300" t="s">
        <v>261</v>
      </c>
    </row>
    <row r="84" spans="1:4" s="81" customFormat="1" ht="15" customHeight="1">
      <c r="A84" s="536"/>
      <c r="B84" s="300">
        <v>1</v>
      </c>
      <c r="C84" s="300"/>
      <c r="D84" s="300" t="s">
        <v>261</v>
      </c>
    </row>
    <row r="85" spans="1:4" s="81" customFormat="1" ht="15" customHeight="1">
      <c r="A85" s="536"/>
      <c r="B85" s="300">
        <v>1</v>
      </c>
      <c r="C85" s="300">
        <v>1997</v>
      </c>
      <c r="D85" s="300" t="s">
        <v>98</v>
      </c>
    </row>
    <row r="86" spans="1:4" s="81" customFormat="1" ht="15" customHeight="1">
      <c r="A86" s="536"/>
      <c r="B86" s="300">
        <v>1</v>
      </c>
      <c r="C86" s="300"/>
      <c r="D86" s="300" t="s">
        <v>98</v>
      </c>
    </row>
    <row r="87" spans="1:4" s="81" customFormat="1" ht="15" customHeight="1">
      <c r="A87" s="536"/>
      <c r="B87" s="300">
        <v>1</v>
      </c>
      <c r="C87" s="300">
        <v>1999</v>
      </c>
      <c r="D87" s="300" t="s">
        <v>98</v>
      </c>
    </row>
    <row r="88" spans="1:4" s="81" customFormat="1" ht="15" customHeight="1">
      <c r="A88" s="536"/>
      <c r="B88" s="300">
        <v>1</v>
      </c>
      <c r="C88" s="300">
        <v>2001</v>
      </c>
      <c r="D88" s="300" t="s">
        <v>98</v>
      </c>
    </row>
    <row r="89" spans="1:4" s="81" customFormat="1" ht="15" customHeight="1">
      <c r="A89" s="536"/>
      <c r="B89" s="300">
        <v>1</v>
      </c>
      <c r="C89" s="300">
        <v>1996</v>
      </c>
      <c r="D89" s="300" t="s">
        <v>98</v>
      </c>
    </row>
    <row r="90" spans="1:4" s="81" customFormat="1" ht="15" customHeight="1">
      <c r="A90" s="536"/>
      <c r="B90" s="300">
        <v>1</v>
      </c>
      <c r="C90" s="300">
        <v>2000</v>
      </c>
      <c r="D90" s="300" t="s">
        <v>98</v>
      </c>
    </row>
    <row r="91" spans="1:4" s="81" customFormat="1" ht="15" customHeight="1">
      <c r="A91" s="536"/>
      <c r="B91" s="300">
        <v>1</v>
      </c>
      <c r="C91" s="300">
        <v>2002</v>
      </c>
      <c r="D91" s="300" t="s">
        <v>98</v>
      </c>
    </row>
    <row r="92" spans="1:4" s="81" customFormat="1" ht="15" customHeight="1">
      <c r="A92" s="536"/>
      <c r="B92" s="300">
        <v>1</v>
      </c>
      <c r="C92" s="300">
        <v>1996</v>
      </c>
      <c r="D92" s="300" t="s">
        <v>98</v>
      </c>
    </row>
    <row r="93" spans="1:4" s="81" customFormat="1" ht="15" customHeight="1">
      <c r="A93" s="536"/>
      <c r="B93" s="300">
        <v>1</v>
      </c>
      <c r="C93" s="300">
        <v>2008</v>
      </c>
      <c r="D93" s="300" t="s">
        <v>98</v>
      </c>
    </row>
    <row r="94" spans="1:4" s="81" customFormat="1" ht="15" customHeight="1">
      <c r="A94" s="536"/>
      <c r="B94" s="300">
        <v>1</v>
      </c>
      <c r="C94" s="300">
        <v>2009</v>
      </c>
      <c r="D94" s="300" t="s">
        <v>98</v>
      </c>
    </row>
    <row r="95" spans="1:4" s="81" customFormat="1" ht="15" customHeight="1">
      <c r="A95" s="536"/>
      <c r="B95" s="300">
        <v>1</v>
      </c>
      <c r="C95" s="300">
        <v>1993</v>
      </c>
      <c r="D95" s="300" t="s">
        <v>261</v>
      </c>
    </row>
    <row r="96" spans="1:4" s="81" customFormat="1" ht="15" customHeight="1">
      <c r="A96" s="536"/>
      <c r="B96" s="300">
        <v>1</v>
      </c>
      <c r="C96" s="300"/>
      <c r="D96" s="300" t="s">
        <v>98</v>
      </c>
    </row>
    <row r="97" spans="1:4" s="81" customFormat="1" ht="15" customHeight="1">
      <c r="A97" s="536"/>
      <c r="B97" s="300">
        <v>1</v>
      </c>
      <c r="C97" s="300">
        <v>1998</v>
      </c>
      <c r="D97" s="300" t="s">
        <v>98</v>
      </c>
    </row>
    <row r="98" spans="1:4" s="81" customFormat="1" ht="15" customHeight="1">
      <c r="A98" s="536"/>
      <c r="B98" s="300">
        <v>1</v>
      </c>
      <c r="C98" s="300">
        <v>1994</v>
      </c>
      <c r="D98" s="300" t="s">
        <v>98</v>
      </c>
    </row>
    <row r="99" spans="1:4" s="81" customFormat="1" ht="15" customHeight="1">
      <c r="A99" s="536"/>
      <c r="B99" s="300">
        <v>1</v>
      </c>
      <c r="C99" s="300"/>
      <c r="D99" s="300" t="s">
        <v>261</v>
      </c>
    </row>
    <row r="100" spans="1:4" s="81" customFormat="1" ht="15" customHeight="1">
      <c r="A100" s="536"/>
      <c r="B100" s="300">
        <v>1</v>
      </c>
      <c r="C100" s="300">
        <v>1994</v>
      </c>
      <c r="D100" s="300" t="s">
        <v>98</v>
      </c>
    </row>
    <row r="101" spans="1:4" s="81" customFormat="1" ht="15" customHeight="1">
      <c r="A101" s="536"/>
      <c r="B101" s="300">
        <v>1</v>
      </c>
      <c r="C101" s="300">
        <v>1998</v>
      </c>
      <c r="D101" s="300" t="s">
        <v>98</v>
      </c>
    </row>
    <row r="102" spans="1:4" s="81" customFormat="1" ht="15" customHeight="1">
      <c r="A102" s="536"/>
      <c r="B102" s="300">
        <v>1</v>
      </c>
      <c r="C102" s="300">
        <v>1995</v>
      </c>
      <c r="D102" s="300" t="s">
        <v>98</v>
      </c>
    </row>
    <row r="103" spans="1:4" s="81" customFormat="1" ht="15" customHeight="1">
      <c r="A103" s="536"/>
      <c r="B103" s="300">
        <v>1</v>
      </c>
      <c r="C103" s="300">
        <v>1993</v>
      </c>
      <c r="D103" s="300" t="s">
        <v>98</v>
      </c>
    </row>
    <row r="104" spans="1:4" s="81" customFormat="1" ht="15" customHeight="1">
      <c r="A104" s="536"/>
      <c r="B104" s="300">
        <v>1</v>
      </c>
      <c r="C104" s="300">
        <v>2009</v>
      </c>
      <c r="D104" s="300" t="s">
        <v>98</v>
      </c>
    </row>
    <row r="105" spans="1:4" s="81" customFormat="1" ht="15" customHeight="1">
      <c r="A105" s="536"/>
      <c r="B105" s="300">
        <v>1</v>
      </c>
      <c r="C105" s="300">
        <v>1994</v>
      </c>
      <c r="D105" s="300" t="s">
        <v>98</v>
      </c>
    </row>
    <row r="106" spans="1:4" s="81" customFormat="1" ht="15" customHeight="1">
      <c r="A106" s="536"/>
      <c r="B106" s="300">
        <v>1</v>
      </c>
      <c r="C106" s="300">
        <v>1998</v>
      </c>
      <c r="D106" s="300" t="s">
        <v>98</v>
      </c>
    </row>
    <row r="107" spans="1:4" s="81" customFormat="1" ht="15" customHeight="1">
      <c r="A107" s="536"/>
      <c r="B107" s="300">
        <v>1</v>
      </c>
      <c r="C107" s="300">
        <v>1995</v>
      </c>
      <c r="D107" s="300" t="s">
        <v>98</v>
      </c>
    </row>
    <row r="108" spans="1:4" s="81" customFormat="1" ht="15" customHeight="1">
      <c r="A108" s="536"/>
      <c r="B108" s="300">
        <v>1</v>
      </c>
      <c r="C108" s="300">
        <v>1994</v>
      </c>
      <c r="D108" s="300" t="s">
        <v>98</v>
      </c>
    </row>
    <row r="109" spans="1:4" s="81" customFormat="1" ht="15" customHeight="1">
      <c r="A109" s="536"/>
      <c r="B109" s="300">
        <v>1</v>
      </c>
      <c r="C109" s="300">
        <v>1997</v>
      </c>
      <c r="D109" s="300" t="s">
        <v>98</v>
      </c>
    </row>
    <row r="110" spans="1:4" s="81" customFormat="1" ht="15" customHeight="1">
      <c r="A110" s="536"/>
      <c r="B110" s="300">
        <v>1</v>
      </c>
      <c r="C110" s="300">
        <v>1998</v>
      </c>
      <c r="D110" s="300" t="s">
        <v>98</v>
      </c>
    </row>
    <row r="111" spans="1:4" s="81" customFormat="1" ht="15" customHeight="1">
      <c r="A111" s="536"/>
      <c r="B111" s="300">
        <v>1</v>
      </c>
      <c r="C111" s="300">
        <v>2007</v>
      </c>
      <c r="D111" s="300" t="s">
        <v>98</v>
      </c>
    </row>
    <row r="112" spans="1:4" s="81" customFormat="1" ht="15" customHeight="1">
      <c r="A112" s="536"/>
      <c r="B112" s="300">
        <v>1</v>
      </c>
      <c r="C112" s="300">
        <v>1994</v>
      </c>
      <c r="D112" s="300" t="s">
        <v>98</v>
      </c>
    </row>
    <row r="113" spans="1:4" s="81" customFormat="1" ht="15" customHeight="1">
      <c r="A113" s="536"/>
      <c r="B113" s="300">
        <v>1</v>
      </c>
      <c r="C113" s="300">
        <v>1994</v>
      </c>
      <c r="D113" s="300" t="s">
        <v>98</v>
      </c>
    </row>
    <row r="114" spans="1:4" s="81" customFormat="1" ht="15" customHeight="1">
      <c r="A114" s="536"/>
      <c r="B114" s="300">
        <v>1</v>
      </c>
      <c r="C114" s="300">
        <v>1998</v>
      </c>
      <c r="D114" s="300" t="s">
        <v>98</v>
      </c>
    </row>
    <row r="115" spans="1:4" s="81" customFormat="1" ht="15" customHeight="1">
      <c r="A115" s="536"/>
      <c r="B115" s="300">
        <v>1</v>
      </c>
      <c r="C115" s="300"/>
      <c r="D115" s="300" t="s">
        <v>98</v>
      </c>
    </row>
    <row r="116" spans="1:4" s="136" customFormat="1" ht="15" customHeight="1">
      <c r="A116" s="86" t="s">
        <v>229</v>
      </c>
      <c r="B116" s="111">
        <f>SUM(B59:B115)</f>
        <v>57</v>
      </c>
      <c r="C116" s="111"/>
      <c r="D116" s="111"/>
    </row>
    <row r="117" spans="1:4" s="73" customFormat="1" ht="15" customHeight="1">
      <c r="A117" s="536"/>
      <c r="B117" s="300">
        <v>1</v>
      </c>
      <c r="C117" s="300">
        <v>1995</v>
      </c>
      <c r="D117" s="300" t="s">
        <v>100</v>
      </c>
    </row>
    <row r="118" spans="1:4" s="73" customFormat="1" ht="15" customHeight="1">
      <c r="A118" s="536"/>
      <c r="B118" s="300">
        <v>1</v>
      </c>
      <c r="C118" s="300">
        <v>1994</v>
      </c>
      <c r="D118" s="300" t="s">
        <v>100</v>
      </c>
    </row>
    <row r="119" spans="1:4" s="73" customFormat="1" ht="15" customHeight="1">
      <c r="A119" s="536"/>
      <c r="B119" s="300">
        <v>1</v>
      </c>
      <c r="C119" s="300">
        <v>2002</v>
      </c>
      <c r="D119" s="300" t="s">
        <v>100</v>
      </c>
    </row>
    <row r="120" spans="1:4" s="73" customFormat="1" ht="15" customHeight="1">
      <c r="A120" s="536"/>
      <c r="B120" s="300">
        <v>1</v>
      </c>
      <c r="C120" s="300">
        <v>2007</v>
      </c>
      <c r="D120" s="300" t="s">
        <v>100</v>
      </c>
    </row>
    <row r="121" spans="1:4" s="73" customFormat="1" ht="15" customHeight="1">
      <c r="A121" s="536"/>
      <c r="B121" s="300">
        <v>1</v>
      </c>
      <c r="C121" s="300">
        <v>1998</v>
      </c>
      <c r="D121" s="300" t="s">
        <v>100</v>
      </c>
    </row>
    <row r="122" spans="1:4" s="73" customFormat="1" ht="15" customHeight="1">
      <c r="A122" s="536"/>
      <c r="B122" s="300">
        <v>1</v>
      </c>
      <c r="C122" s="300">
        <v>2000</v>
      </c>
      <c r="D122" s="300" t="s">
        <v>100</v>
      </c>
    </row>
    <row r="123" spans="1:4" s="73" customFormat="1" ht="15" customHeight="1">
      <c r="A123" s="536"/>
      <c r="B123" s="300">
        <v>1</v>
      </c>
      <c r="C123" s="300">
        <v>2001</v>
      </c>
      <c r="D123" s="300" t="s">
        <v>100</v>
      </c>
    </row>
    <row r="124" spans="1:4" s="81" customFormat="1" ht="15" customHeight="1">
      <c r="A124" s="536"/>
      <c r="B124" s="300">
        <v>1</v>
      </c>
      <c r="C124" s="300">
        <v>2001</v>
      </c>
      <c r="D124" s="300" t="s">
        <v>100</v>
      </c>
    </row>
    <row r="125" spans="1:4" s="81" customFormat="1" ht="15" customHeight="1">
      <c r="A125" s="536"/>
      <c r="B125" s="300">
        <v>1</v>
      </c>
      <c r="C125" s="300">
        <v>1994</v>
      </c>
      <c r="D125" s="300" t="s">
        <v>100</v>
      </c>
    </row>
    <row r="126" spans="1:4" s="81" customFormat="1" ht="15" customHeight="1">
      <c r="A126" s="536"/>
      <c r="B126" s="300">
        <v>1</v>
      </c>
      <c r="C126" s="300">
        <v>1999</v>
      </c>
      <c r="D126" s="300" t="s">
        <v>100</v>
      </c>
    </row>
    <row r="127" spans="1:4" s="81" customFormat="1" ht="15" customHeight="1">
      <c r="A127" s="536"/>
      <c r="B127" s="300">
        <v>1</v>
      </c>
      <c r="C127" s="300">
        <v>2000</v>
      </c>
      <c r="D127" s="300" t="s">
        <v>100</v>
      </c>
    </row>
    <row r="128" spans="1:4" s="81" customFormat="1" ht="15" customHeight="1">
      <c r="A128" s="536"/>
      <c r="B128" s="300">
        <v>1</v>
      </c>
      <c r="C128" s="300"/>
      <c r="D128" s="300" t="s">
        <v>100</v>
      </c>
    </row>
    <row r="129" spans="1:4" s="81" customFormat="1" ht="15" customHeight="1">
      <c r="A129" s="536"/>
      <c r="B129" s="300">
        <v>1</v>
      </c>
      <c r="C129" s="300">
        <v>2002</v>
      </c>
      <c r="D129" s="300" t="s">
        <v>100</v>
      </c>
    </row>
    <row r="130" spans="1:4" s="81" customFormat="1" ht="15" customHeight="1">
      <c r="A130" s="536"/>
      <c r="B130" s="300">
        <v>1</v>
      </c>
      <c r="C130" s="300">
        <v>2003</v>
      </c>
      <c r="D130" s="300" t="s">
        <v>100</v>
      </c>
    </row>
    <row r="131" spans="1:4" s="81" customFormat="1" ht="15" customHeight="1">
      <c r="A131" s="536"/>
      <c r="B131" s="300">
        <v>1</v>
      </c>
      <c r="C131" s="300">
        <v>1996</v>
      </c>
      <c r="D131" s="300" t="s">
        <v>100</v>
      </c>
    </row>
    <row r="132" spans="1:4" s="81" customFormat="1" ht="15" customHeight="1">
      <c r="A132" s="536"/>
      <c r="B132" s="300">
        <v>1</v>
      </c>
      <c r="C132" s="300">
        <v>1996</v>
      </c>
      <c r="D132" s="300" t="s">
        <v>100</v>
      </c>
    </row>
    <row r="133" spans="1:4" s="81" customFormat="1" ht="15" customHeight="1">
      <c r="A133" s="536"/>
      <c r="B133" s="300">
        <v>1</v>
      </c>
      <c r="C133" s="300"/>
      <c r="D133" s="300" t="s">
        <v>100</v>
      </c>
    </row>
    <row r="134" spans="1:4" s="81" customFormat="1" ht="15" customHeight="1">
      <c r="A134" s="536"/>
      <c r="B134" s="300">
        <v>1</v>
      </c>
      <c r="C134" s="300">
        <v>1999</v>
      </c>
      <c r="D134" s="300" t="s">
        <v>100</v>
      </c>
    </row>
    <row r="135" spans="1:4" s="81" customFormat="1" ht="15" customHeight="1">
      <c r="A135" s="536"/>
      <c r="B135" s="300">
        <v>1</v>
      </c>
      <c r="C135" s="300"/>
      <c r="D135" s="300" t="s">
        <v>100</v>
      </c>
    </row>
    <row r="136" spans="1:4" s="81" customFormat="1" ht="15" customHeight="1">
      <c r="A136" s="536"/>
      <c r="B136" s="300">
        <v>1</v>
      </c>
      <c r="C136" s="300">
        <v>2001</v>
      </c>
      <c r="D136" s="300" t="s">
        <v>100</v>
      </c>
    </row>
    <row r="137" spans="1:4" s="81" customFormat="1" ht="15" customHeight="1">
      <c r="A137" s="536"/>
      <c r="B137" s="300">
        <v>1</v>
      </c>
      <c r="C137" s="300">
        <v>1994</v>
      </c>
      <c r="D137" s="300" t="s">
        <v>100</v>
      </c>
    </row>
    <row r="138" spans="1:4" s="81" customFormat="1" ht="15" customHeight="1">
      <c r="A138" s="536"/>
      <c r="B138" s="300">
        <v>1</v>
      </c>
      <c r="C138" s="300">
        <v>2011</v>
      </c>
      <c r="D138" s="300" t="s">
        <v>100</v>
      </c>
    </row>
    <row r="139" spans="1:4" s="81" customFormat="1" ht="15" customHeight="1">
      <c r="A139" s="536"/>
      <c r="B139" s="300">
        <v>1</v>
      </c>
      <c r="C139" s="300">
        <v>1994</v>
      </c>
      <c r="D139" s="300" t="s">
        <v>100</v>
      </c>
    </row>
    <row r="140" spans="1:4" s="81" customFormat="1" ht="15" customHeight="1">
      <c r="A140" s="536"/>
      <c r="B140" s="300">
        <v>1</v>
      </c>
      <c r="C140" s="300">
        <v>2005</v>
      </c>
      <c r="D140" s="300" t="s">
        <v>100</v>
      </c>
    </row>
    <row r="141" spans="1:4" s="81" customFormat="1" ht="15" customHeight="1">
      <c r="A141" s="536"/>
      <c r="B141" s="300">
        <v>1</v>
      </c>
      <c r="C141" s="300"/>
      <c r="D141" s="300" t="s">
        <v>100</v>
      </c>
    </row>
    <row r="142" spans="1:4" s="81" customFormat="1" ht="15" customHeight="1">
      <c r="A142" s="536"/>
      <c r="B142" s="300">
        <v>1</v>
      </c>
      <c r="C142" s="300"/>
      <c r="D142" s="300" t="s">
        <v>100</v>
      </c>
    </row>
    <row r="143" spans="1:4" s="81" customFormat="1" ht="15" customHeight="1">
      <c r="A143" s="536"/>
      <c r="B143" s="300">
        <v>1</v>
      </c>
      <c r="C143" s="300">
        <v>1993</v>
      </c>
      <c r="D143" s="300" t="s">
        <v>100</v>
      </c>
    </row>
    <row r="144" spans="1:4" s="81" customFormat="1" ht="15" customHeight="1">
      <c r="A144" s="536"/>
      <c r="B144" s="300">
        <v>1</v>
      </c>
      <c r="C144" s="300"/>
      <c r="D144" s="300" t="s">
        <v>100</v>
      </c>
    </row>
    <row r="145" spans="1:4" s="81" customFormat="1" ht="15" customHeight="1">
      <c r="A145" s="536"/>
      <c r="B145" s="300">
        <v>1</v>
      </c>
      <c r="C145" s="300"/>
      <c r="D145" s="300" t="s">
        <v>100</v>
      </c>
    </row>
    <row r="146" spans="1:4" s="81" customFormat="1" ht="15" customHeight="1">
      <c r="A146" s="536"/>
      <c r="B146" s="300">
        <v>1</v>
      </c>
      <c r="C146" s="300"/>
      <c r="D146" s="300" t="s">
        <v>100</v>
      </c>
    </row>
    <row r="147" spans="1:4" s="81" customFormat="1" ht="15" customHeight="1">
      <c r="A147" s="536"/>
      <c r="B147" s="300">
        <v>1</v>
      </c>
      <c r="C147" s="300"/>
      <c r="D147" s="300" t="s">
        <v>100</v>
      </c>
    </row>
    <row r="148" spans="1:4" s="81" customFormat="1" ht="15" customHeight="1">
      <c r="A148" s="536"/>
      <c r="B148" s="300">
        <v>1</v>
      </c>
      <c r="C148" s="300">
        <v>1996</v>
      </c>
      <c r="D148" s="300" t="s">
        <v>100</v>
      </c>
    </row>
    <row r="149" spans="1:4" s="81" customFormat="1" ht="15" customHeight="1">
      <c r="A149" s="536"/>
      <c r="B149" s="300">
        <v>1</v>
      </c>
      <c r="C149" s="300">
        <v>1999</v>
      </c>
      <c r="D149" s="300" t="s">
        <v>100</v>
      </c>
    </row>
    <row r="150" spans="1:4" s="81" customFormat="1" ht="15" customHeight="1">
      <c r="A150" s="536"/>
      <c r="B150" s="300">
        <v>1</v>
      </c>
      <c r="C150" s="300"/>
      <c r="D150" s="300" t="s">
        <v>100</v>
      </c>
    </row>
    <row r="151" spans="1:4" s="81" customFormat="1" ht="15" customHeight="1">
      <c r="A151" s="536"/>
      <c r="B151" s="300">
        <v>1</v>
      </c>
      <c r="C151" s="300"/>
      <c r="D151" s="300" t="s">
        <v>100</v>
      </c>
    </row>
    <row r="152" spans="1:4" s="81" customFormat="1" ht="15" customHeight="1">
      <c r="A152" s="536"/>
      <c r="B152" s="300">
        <v>1</v>
      </c>
      <c r="C152" s="300">
        <v>2005</v>
      </c>
      <c r="D152" s="300" t="s">
        <v>100</v>
      </c>
    </row>
    <row r="153" spans="1:4" s="81" customFormat="1" ht="15" customHeight="1">
      <c r="A153" s="536"/>
      <c r="B153" s="300">
        <v>1</v>
      </c>
      <c r="C153" s="300"/>
      <c r="D153" s="300" t="s">
        <v>100</v>
      </c>
    </row>
    <row r="154" spans="1:4" s="81" customFormat="1" ht="15" customHeight="1">
      <c r="A154" s="536"/>
      <c r="B154" s="300">
        <v>1</v>
      </c>
      <c r="C154" s="300"/>
      <c r="D154" s="300" t="s">
        <v>100</v>
      </c>
    </row>
    <row r="155" spans="1:4" s="81" customFormat="1" ht="15" customHeight="1">
      <c r="A155" s="536"/>
      <c r="B155" s="300">
        <v>1</v>
      </c>
      <c r="C155" s="300">
        <v>2001</v>
      </c>
      <c r="D155" s="300" t="s">
        <v>100</v>
      </c>
    </row>
    <row r="156" spans="1:4" s="136" customFormat="1" ht="15" customHeight="1">
      <c r="A156" s="86" t="s">
        <v>45</v>
      </c>
      <c r="B156" s="111">
        <f>SUM(B117:B155)</f>
        <v>39</v>
      </c>
      <c r="C156" s="111"/>
      <c r="D156" s="111"/>
    </row>
    <row r="157" spans="1:4" s="72" customFormat="1" ht="15" customHeight="1">
      <c r="A157" s="41" t="s">
        <v>204</v>
      </c>
      <c r="B157" s="121">
        <f>B58+B116+B156</f>
        <v>111</v>
      </c>
      <c r="C157" s="121"/>
      <c r="D157" s="113"/>
    </row>
    <row r="158" spans="1:4" s="51" customFormat="1" ht="15" customHeight="1">
      <c r="A158" s="37" t="s">
        <v>27</v>
      </c>
      <c r="B158" s="29"/>
      <c r="C158" s="29"/>
      <c r="D158" s="42"/>
    </row>
    <row r="159" spans="1:4" s="81" customFormat="1" ht="15" customHeight="1">
      <c r="A159" s="536"/>
      <c r="B159" s="300">
        <v>1</v>
      </c>
      <c r="C159" s="300">
        <v>2009</v>
      </c>
      <c r="D159" s="300" t="s">
        <v>96</v>
      </c>
    </row>
    <row r="160" spans="1:4" s="81" customFormat="1" ht="15" customHeight="1">
      <c r="A160" s="536"/>
      <c r="B160" s="300">
        <v>1</v>
      </c>
      <c r="C160" s="300"/>
      <c r="D160" s="300" t="s">
        <v>96</v>
      </c>
    </row>
    <row r="161" spans="1:4" s="136" customFormat="1" ht="15" customHeight="1">
      <c r="A161" s="86" t="s">
        <v>39</v>
      </c>
      <c r="B161" s="111">
        <f>SUM(B159:B160)</f>
        <v>2</v>
      </c>
      <c r="C161" s="111"/>
      <c r="D161" s="111"/>
    </row>
    <row r="162" spans="1:4" s="81" customFormat="1" ht="15" customHeight="1">
      <c r="A162" s="536"/>
      <c r="B162" s="300">
        <v>1</v>
      </c>
      <c r="C162" s="300">
        <v>1997</v>
      </c>
      <c r="D162" s="300" t="s">
        <v>98</v>
      </c>
    </row>
    <row r="163" spans="1:4" s="81" customFormat="1" ht="15" customHeight="1">
      <c r="A163" s="536"/>
      <c r="B163" s="300">
        <v>1</v>
      </c>
      <c r="C163" s="300">
        <v>2000</v>
      </c>
      <c r="D163" s="300" t="s">
        <v>98</v>
      </c>
    </row>
    <row r="164" spans="1:4" s="81" customFormat="1" ht="15" customHeight="1">
      <c r="A164" s="536"/>
      <c r="B164" s="300">
        <v>1</v>
      </c>
      <c r="C164" s="300">
        <v>2002</v>
      </c>
      <c r="D164" s="300" t="s">
        <v>98</v>
      </c>
    </row>
    <row r="165" spans="1:4" s="81" customFormat="1" ht="15" customHeight="1">
      <c r="A165" s="536"/>
      <c r="B165" s="300">
        <v>1</v>
      </c>
      <c r="C165" s="300">
        <v>1996</v>
      </c>
      <c r="D165" s="300" t="s">
        <v>98</v>
      </c>
    </row>
    <row r="166" spans="1:4" s="81" customFormat="1" ht="15" customHeight="1">
      <c r="A166" s="536"/>
      <c r="B166" s="300">
        <v>1</v>
      </c>
      <c r="C166" s="300"/>
      <c r="D166" s="300" t="s">
        <v>261</v>
      </c>
    </row>
    <row r="167" spans="1:4" s="136" customFormat="1" ht="15" customHeight="1">
      <c r="A167" s="86" t="s">
        <v>229</v>
      </c>
      <c r="B167" s="111">
        <f>SUM(B162:B166)</f>
        <v>5</v>
      </c>
      <c r="C167" s="111"/>
      <c r="D167" s="111"/>
    </row>
    <row r="168" spans="1:4" s="81" customFormat="1" ht="15" customHeight="1">
      <c r="A168" s="536"/>
      <c r="B168" s="300">
        <v>1</v>
      </c>
      <c r="C168" s="300">
        <v>1997</v>
      </c>
      <c r="D168" s="300" t="s">
        <v>100</v>
      </c>
    </row>
    <row r="169" spans="1:4" s="73" customFormat="1" ht="15" customHeight="1">
      <c r="A169" s="536"/>
      <c r="B169" s="300">
        <v>1</v>
      </c>
      <c r="C169" s="300">
        <v>2000</v>
      </c>
      <c r="D169" s="300" t="s">
        <v>100</v>
      </c>
    </row>
    <row r="170" spans="1:4" s="81" customFormat="1" ht="15" customHeight="1">
      <c r="A170" s="536"/>
      <c r="B170" s="300">
        <v>1</v>
      </c>
      <c r="C170" s="300">
        <v>2008</v>
      </c>
      <c r="D170" s="300" t="s">
        <v>100</v>
      </c>
    </row>
    <row r="171" spans="1:4" s="81" customFormat="1" ht="15" customHeight="1">
      <c r="A171" s="536"/>
      <c r="B171" s="300">
        <v>1</v>
      </c>
      <c r="C171" s="300">
        <v>1998</v>
      </c>
      <c r="D171" s="300" t="s">
        <v>100</v>
      </c>
    </row>
    <row r="172" spans="1:4" s="73" customFormat="1" ht="15" customHeight="1">
      <c r="A172" s="536"/>
      <c r="B172" s="300">
        <v>1</v>
      </c>
      <c r="C172" s="300">
        <v>1993</v>
      </c>
      <c r="D172" s="300" t="s">
        <v>228</v>
      </c>
    </row>
    <row r="173" spans="1:4" s="81" customFormat="1" ht="15" customHeight="1">
      <c r="A173" s="536"/>
      <c r="B173" s="300">
        <v>1</v>
      </c>
      <c r="C173" s="300">
        <v>1998</v>
      </c>
      <c r="D173" s="300" t="s">
        <v>100</v>
      </c>
    </row>
    <row r="174" spans="1:4" s="73" customFormat="1" ht="15" customHeight="1">
      <c r="A174" s="536"/>
      <c r="B174" s="300">
        <v>1</v>
      </c>
      <c r="C174" s="300">
        <v>1998</v>
      </c>
      <c r="D174" s="300" t="s">
        <v>228</v>
      </c>
    </row>
    <row r="175" spans="1:4" s="81" customFormat="1" ht="15" customHeight="1">
      <c r="A175" s="536"/>
      <c r="B175" s="300">
        <v>1</v>
      </c>
      <c r="C175" s="300">
        <v>2001</v>
      </c>
      <c r="D175" s="300" t="s">
        <v>100</v>
      </c>
    </row>
    <row r="176" spans="1:4" s="136" customFormat="1" ht="15" customHeight="1">
      <c r="A176" s="86" t="s">
        <v>45</v>
      </c>
      <c r="B176" s="111">
        <f>SUM(B168:B175)</f>
        <v>8</v>
      </c>
      <c r="C176" s="111"/>
      <c r="D176" s="111"/>
    </row>
    <row r="177" spans="1:4" s="72" customFormat="1" ht="15" customHeight="1">
      <c r="A177" s="41" t="s">
        <v>188</v>
      </c>
      <c r="B177" s="121">
        <f>B161+B167+B176</f>
        <v>15</v>
      </c>
      <c r="C177" s="121"/>
      <c r="D177" s="113"/>
    </row>
    <row r="178" spans="1:4" s="51" customFormat="1" ht="15" customHeight="1">
      <c r="A178" s="37" t="s">
        <v>28</v>
      </c>
      <c r="B178" s="29"/>
      <c r="C178" s="29"/>
      <c r="D178" s="42"/>
    </row>
    <row r="179" spans="1:4" s="53" customFormat="1" ht="15" customHeight="1">
      <c r="A179" s="536"/>
      <c r="B179" s="301">
        <v>1</v>
      </c>
      <c r="C179" s="301">
        <v>1995</v>
      </c>
      <c r="D179" s="300" t="s">
        <v>98</v>
      </c>
    </row>
    <row r="180" spans="1:4" s="53" customFormat="1" ht="15" customHeight="1">
      <c r="A180" s="536"/>
      <c r="B180" s="301">
        <v>1</v>
      </c>
      <c r="C180" s="301">
        <v>1995</v>
      </c>
      <c r="D180" s="300" t="s">
        <v>98</v>
      </c>
    </row>
    <row r="181" spans="1:4" s="53" customFormat="1" ht="15" customHeight="1">
      <c r="A181" s="536"/>
      <c r="B181" s="301">
        <v>1</v>
      </c>
      <c r="C181" s="301"/>
      <c r="D181" s="300" t="s">
        <v>98</v>
      </c>
    </row>
    <row r="182" spans="1:4" s="53" customFormat="1" ht="15" customHeight="1">
      <c r="A182" s="536"/>
      <c r="B182" s="301">
        <v>1</v>
      </c>
      <c r="C182" s="301"/>
      <c r="D182" s="300" t="s">
        <v>98</v>
      </c>
    </row>
    <row r="183" spans="1:4" s="53" customFormat="1" ht="15" customHeight="1">
      <c r="A183" s="536"/>
      <c r="B183" s="301">
        <v>1</v>
      </c>
      <c r="C183" s="301"/>
      <c r="D183" s="300" t="s">
        <v>262</v>
      </c>
    </row>
    <row r="184" spans="1:4" s="53" customFormat="1" ht="15" customHeight="1">
      <c r="A184" s="536"/>
      <c r="B184" s="301">
        <v>1</v>
      </c>
      <c r="C184" s="301">
        <v>1998</v>
      </c>
      <c r="D184" s="300" t="s">
        <v>98</v>
      </c>
    </row>
    <row r="185" spans="1:4" s="53" customFormat="1" ht="15" customHeight="1">
      <c r="A185" s="536"/>
      <c r="B185" s="301">
        <v>1</v>
      </c>
      <c r="C185" s="301">
        <v>1995</v>
      </c>
      <c r="D185" s="300" t="s">
        <v>98</v>
      </c>
    </row>
    <row r="186" spans="1:4" s="53" customFormat="1" ht="15" customHeight="1">
      <c r="A186" s="536"/>
      <c r="B186" s="301">
        <v>1</v>
      </c>
      <c r="C186" s="301">
        <v>1997</v>
      </c>
      <c r="D186" s="300" t="s">
        <v>98</v>
      </c>
    </row>
    <row r="187" spans="1:4" s="53" customFormat="1" ht="15" customHeight="1">
      <c r="A187" s="536"/>
      <c r="B187" s="301">
        <v>1</v>
      </c>
      <c r="C187" s="301">
        <v>1995</v>
      </c>
      <c r="D187" s="300" t="s">
        <v>98</v>
      </c>
    </row>
    <row r="188" spans="1:4" s="53" customFormat="1" ht="15" customHeight="1">
      <c r="A188" s="536"/>
      <c r="B188" s="301">
        <v>1</v>
      </c>
      <c r="C188" s="301"/>
      <c r="D188" s="300" t="s">
        <v>98</v>
      </c>
    </row>
    <row r="189" spans="1:4" s="53" customFormat="1" ht="15" customHeight="1">
      <c r="A189" s="536"/>
      <c r="B189" s="301">
        <v>1</v>
      </c>
      <c r="C189" s="301"/>
      <c r="D189" s="300" t="s">
        <v>98</v>
      </c>
    </row>
    <row r="190" spans="1:4" s="53" customFormat="1" ht="15" customHeight="1">
      <c r="A190" s="536"/>
      <c r="B190" s="301">
        <v>1</v>
      </c>
      <c r="C190" s="301"/>
      <c r="D190" s="300" t="s">
        <v>98</v>
      </c>
    </row>
    <row r="191" spans="1:4" s="53" customFormat="1" ht="15" customHeight="1">
      <c r="A191" s="536"/>
      <c r="B191" s="301">
        <v>1</v>
      </c>
      <c r="C191" s="301">
        <v>2001</v>
      </c>
      <c r="D191" s="300" t="s">
        <v>98</v>
      </c>
    </row>
    <row r="192" spans="1:4" s="136" customFormat="1" ht="15" customHeight="1">
      <c r="A192" s="86" t="s">
        <v>229</v>
      </c>
      <c r="B192" s="111">
        <f>SUM(B179:B191)</f>
        <v>13</v>
      </c>
      <c r="C192" s="111"/>
      <c r="D192" s="111"/>
    </row>
    <row r="193" spans="1:4" s="53" customFormat="1" ht="15" customHeight="1">
      <c r="A193" s="536"/>
      <c r="B193" s="301">
        <v>1</v>
      </c>
      <c r="C193" s="301">
        <v>2001</v>
      </c>
      <c r="D193" s="300" t="s">
        <v>100</v>
      </c>
    </row>
    <row r="194" spans="1:4" s="53" customFormat="1" ht="15" customHeight="1">
      <c r="A194" s="536"/>
      <c r="B194" s="301">
        <v>1</v>
      </c>
      <c r="C194" s="301">
        <v>2000</v>
      </c>
      <c r="D194" s="300" t="s">
        <v>100</v>
      </c>
    </row>
    <row r="195" spans="1:4" s="53" customFormat="1" ht="15" customHeight="1">
      <c r="A195" s="536"/>
      <c r="B195" s="301">
        <v>1</v>
      </c>
      <c r="C195" s="301">
        <v>2004</v>
      </c>
      <c r="D195" s="300" t="s">
        <v>100</v>
      </c>
    </row>
    <row r="196" spans="1:4" s="53" customFormat="1" ht="15" customHeight="1">
      <c r="A196" s="536"/>
      <c r="B196" s="301">
        <v>1</v>
      </c>
      <c r="C196" s="301">
        <v>2004</v>
      </c>
      <c r="D196" s="300" t="s">
        <v>100</v>
      </c>
    </row>
    <row r="197" spans="1:4" s="53" customFormat="1" ht="15" customHeight="1">
      <c r="A197" s="536"/>
      <c r="B197" s="301">
        <v>1</v>
      </c>
      <c r="C197" s="301"/>
      <c r="D197" s="300" t="s">
        <v>100</v>
      </c>
    </row>
    <row r="198" spans="1:4" s="136" customFormat="1" ht="15" customHeight="1">
      <c r="A198" s="86" t="s">
        <v>45</v>
      </c>
      <c r="B198" s="111">
        <f>SUM(B193:B197)</f>
        <v>5</v>
      </c>
      <c r="C198" s="111"/>
      <c r="D198" s="111"/>
    </row>
    <row r="199" spans="1:4" s="72" customFormat="1" ht="15" customHeight="1">
      <c r="A199" s="41" t="s">
        <v>67</v>
      </c>
      <c r="B199" s="112">
        <f>B192+B198</f>
        <v>18</v>
      </c>
      <c r="C199" s="112"/>
      <c r="D199" s="113"/>
    </row>
    <row r="200" spans="1:4" s="51" customFormat="1" ht="15" customHeight="1">
      <c r="A200" s="37" t="s">
        <v>25</v>
      </c>
      <c r="B200" s="29"/>
      <c r="C200" s="29"/>
      <c r="D200" s="42"/>
    </row>
    <row r="201" spans="1:4" s="220" customFormat="1" ht="15" customHeight="1">
      <c r="A201" s="536"/>
      <c r="B201" s="392">
        <v>1</v>
      </c>
      <c r="C201" s="392"/>
      <c r="D201" s="300" t="s">
        <v>98</v>
      </c>
    </row>
    <row r="202" spans="1:4" s="220" customFormat="1" ht="15" customHeight="1">
      <c r="A202" s="536"/>
      <c r="B202" s="392">
        <v>1</v>
      </c>
      <c r="C202" s="392"/>
      <c r="D202" s="300" t="s">
        <v>98</v>
      </c>
    </row>
    <row r="203" spans="1:4" s="220" customFormat="1" ht="15" customHeight="1">
      <c r="A203" s="536"/>
      <c r="B203" s="392">
        <v>1</v>
      </c>
      <c r="C203" s="392"/>
      <c r="D203" s="300" t="s">
        <v>98</v>
      </c>
    </row>
    <row r="204" spans="1:4" s="220" customFormat="1" ht="15" customHeight="1">
      <c r="A204" s="536"/>
      <c r="B204" s="392">
        <v>1</v>
      </c>
      <c r="C204" s="392"/>
      <c r="D204" s="300" t="s">
        <v>98</v>
      </c>
    </row>
    <row r="205" spans="1:4" s="220" customFormat="1" ht="15" customHeight="1">
      <c r="A205" s="536"/>
      <c r="B205" s="392">
        <v>1</v>
      </c>
      <c r="C205" s="392"/>
      <c r="D205" s="300" t="s">
        <v>98</v>
      </c>
    </row>
    <row r="206" spans="1:4" s="220" customFormat="1" ht="15" customHeight="1">
      <c r="A206" s="536"/>
      <c r="B206" s="392">
        <v>1</v>
      </c>
      <c r="C206" s="392"/>
      <c r="D206" s="300" t="s">
        <v>98</v>
      </c>
    </row>
    <row r="207" spans="1:4" s="220" customFormat="1" ht="15" customHeight="1">
      <c r="A207" s="536"/>
      <c r="B207" s="392">
        <v>1</v>
      </c>
      <c r="C207" s="392"/>
      <c r="D207" s="300" t="s">
        <v>98</v>
      </c>
    </row>
    <row r="208" spans="1:4" s="220" customFormat="1" ht="15" customHeight="1">
      <c r="A208" s="536"/>
      <c r="B208" s="392">
        <v>1</v>
      </c>
      <c r="C208" s="392">
        <v>1994</v>
      </c>
      <c r="D208" s="300" t="s">
        <v>98</v>
      </c>
    </row>
    <row r="209" spans="1:4" s="136" customFormat="1" ht="15" customHeight="1">
      <c r="A209" s="86" t="s">
        <v>229</v>
      </c>
      <c r="B209" s="111">
        <f>SUM(B201:B208)</f>
        <v>8</v>
      </c>
      <c r="C209" s="111"/>
      <c r="D209" s="111"/>
    </row>
    <row r="210" spans="1:4" s="220" customFormat="1" ht="15" customHeight="1">
      <c r="A210" s="536"/>
      <c r="B210" s="392">
        <v>1</v>
      </c>
      <c r="C210" s="392">
        <v>1997</v>
      </c>
      <c r="D210" s="300" t="s">
        <v>100</v>
      </c>
    </row>
    <row r="211" spans="1:4" s="220" customFormat="1" ht="15" customHeight="1">
      <c r="A211" s="536"/>
      <c r="B211" s="392">
        <v>1</v>
      </c>
      <c r="C211" s="392">
        <v>2000</v>
      </c>
      <c r="D211" s="300" t="s">
        <v>100</v>
      </c>
    </row>
    <row r="212" spans="1:4" s="220" customFormat="1" ht="15" customHeight="1">
      <c r="A212" s="536"/>
      <c r="B212" s="392">
        <v>1</v>
      </c>
      <c r="C212" s="392">
        <v>2003</v>
      </c>
      <c r="D212" s="300" t="s">
        <v>100</v>
      </c>
    </row>
    <row r="213" spans="1:4" s="220" customFormat="1" ht="15" customHeight="1">
      <c r="A213" s="536"/>
      <c r="B213" s="392">
        <v>1</v>
      </c>
      <c r="C213" s="392">
        <v>1997</v>
      </c>
      <c r="D213" s="300" t="s">
        <v>100</v>
      </c>
    </row>
    <row r="214" spans="1:4" s="220" customFormat="1" ht="15" customHeight="1">
      <c r="A214" s="536"/>
      <c r="B214" s="392">
        <v>1</v>
      </c>
      <c r="C214" s="392"/>
      <c r="D214" s="300" t="s">
        <v>100</v>
      </c>
    </row>
    <row r="215" spans="1:4" s="220" customFormat="1" ht="15" customHeight="1">
      <c r="A215" s="536"/>
      <c r="B215" s="392">
        <v>1</v>
      </c>
      <c r="C215" s="392">
        <v>2004</v>
      </c>
      <c r="D215" s="300" t="s">
        <v>100</v>
      </c>
    </row>
    <row r="216" spans="1:4" s="220" customFormat="1" ht="15" customHeight="1">
      <c r="A216" s="536"/>
      <c r="B216" s="392">
        <v>1</v>
      </c>
      <c r="C216" s="392"/>
      <c r="D216" s="300" t="s">
        <v>100</v>
      </c>
    </row>
    <row r="217" spans="1:4" s="220" customFormat="1" ht="15" customHeight="1">
      <c r="A217" s="536"/>
      <c r="B217" s="392">
        <v>1</v>
      </c>
      <c r="C217" s="392">
        <v>2004</v>
      </c>
      <c r="D217" s="300" t="s">
        <v>100</v>
      </c>
    </row>
    <row r="218" spans="1:251" s="136" customFormat="1" ht="15" customHeight="1">
      <c r="A218" s="86" t="s">
        <v>45</v>
      </c>
      <c r="B218" s="111">
        <f>SUM(B210:B217)</f>
        <v>8</v>
      </c>
      <c r="C218" s="111"/>
      <c r="D218" s="111"/>
      <c r="IQ218" s="136">
        <f>SUM(B218:IP218)</f>
        <v>8</v>
      </c>
    </row>
    <row r="219" spans="1:4" s="72" customFormat="1" ht="15" customHeight="1">
      <c r="A219" s="41" t="s">
        <v>174</v>
      </c>
      <c r="B219" s="112">
        <f>B209+B218</f>
        <v>16</v>
      </c>
      <c r="C219" s="112"/>
      <c r="D219" s="113"/>
    </row>
    <row r="220" spans="1:4" s="51" customFormat="1" ht="15" customHeight="1">
      <c r="A220" s="37" t="s">
        <v>29</v>
      </c>
      <c r="B220" s="29"/>
      <c r="C220" s="29"/>
      <c r="D220" s="42"/>
    </row>
    <row r="221" spans="1:4" s="73" customFormat="1" ht="15" customHeight="1">
      <c r="A221" s="536"/>
      <c r="B221" s="300">
        <v>1</v>
      </c>
      <c r="C221" s="300">
        <v>2003</v>
      </c>
      <c r="D221" s="300" t="s">
        <v>96</v>
      </c>
    </row>
    <row r="222" spans="1:4" s="136" customFormat="1" ht="15" customHeight="1">
      <c r="A222" s="86" t="s">
        <v>39</v>
      </c>
      <c r="B222" s="111">
        <f>SUM(B221)</f>
        <v>1</v>
      </c>
      <c r="C222" s="111"/>
      <c r="D222" s="111"/>
    </row>
    <row r="223" spans="1:4" s="73" customFormat="1" ht="15" customHeight="1">
      <c r="A223" s="536"/>
      <c r="B223" s="300">
        <v>1</v>
      </c>
      <c r="C223" s="300">
        <v>1995</v>
      </c>
      <c r="D223" s="300" t="s">
        <v>98</v>
      </c>
    </row>
    <row r="224" spans="1:4" s="73" customFormat="1" ht="15" customHeight="1">
      <c r="A224" s="536"/>
      <c r="B224" s="300">
        <v>1</v>
      </c>
      <c r="C224" s="300"/>
      <c r="D224" s="300" t="s">
        <v>98</v>
      </c>
    </row>
    <row r="225" spans="1:4" s="73" customFormat="1" ht="15" customHeight="1">
      <c r="A225" s="536"/>
      <c r="B225" s="300">
        <v>1</v>
      </c>
      <c r="C225" s="300"/>
      <c r="D225" s="300" t="s">
        <v>98</v>
      </c>
    </row>
    <row r="226" spans="1:4" s="73" customFormat="1" ht="15" customHeight="1">
      <c r="A226" s="536"/>
      <c r="B226" s="300">
        <v>1</v>
      </c>
      <c r="C226" s="300"/>
      <c r="D226" s="300" t="s">
        <v>98</v>
      </c>
    </row>
    <row r="227" spans="1:4" s="73" customFormat="1" ht="15" customHeight="1">
      <c r="A227" s="536"/>
      <c r="B227" s="300">
        <v>1</v>
      </c>
      <c r="C227" s="300">
        <v>1992</v>
      </c>
      <c r="D227" s="300" t="s">
        <v>98</v>
      </c>
    </row>
    <row r="228" spans="1:4" s="73" customFormat="1" ht="15" customHeight="1">
      <c r="A228" s="536"/>
      <c r="B228" s="300">
        <v>1</v>
      </c>
      <c r="C228" s="300"/>
      <c r="D228" s="300" t="s">
        <v>98</v>
      </c>
    </row>
    <row r="229" spans="1:4" s="73" customFormat="1" ht="15" customHeight="1">
      <c r="A229" s="536"/>
      <c r="B229" s="300">
        <v>1</v>
      </c>
      <c r="C229" s="300"/>
      <c r="D229" s="300" t="s">
        <v>98</v>
      </c>
    </row>
    <row r="230" spans="1:4" s="73" customFormat="1" ht="15" customHeight="1">
      <c r="A230" s="536"/>
      <c r="B230" s="300">
        <v>1</v>
      </c>
      <c r="C230" s="300"/>
      <c r="D230" s="300" t="s">
        <v>98</v>
      </c>
    </row>
    <row r="231" spans="1:4" s="73" customFormat="1" ht="15" customHeight="1">
      <c r="A231" s="536"/>
      <c r="B231" s="300">
        <v>1</v>
      </c>
      <c r="C231" s="300"/>
      <c r="D231" s="300" t="s">
        <v>98</v>
      </c>
    </row>
    <row r="232" spans="1:4" s="73" customFormat="1" ht="15" customHeight="1">
      <c r="A232" s="536"/>
      <c r="B232" s="300">
        <v>1</v>
      </c>
      <c r="C232" s="300">
        <v>2000</v>
      </c>
      <c r="D232" s="300" t="s">
        <v>98</v>
      </c>
    </row>
    <row r="233" spans="1:4" s="73" customFormat="1" ht="15" customHeight="1">
      <c r="A233" s="536"/>
      <c r="B233" s="300">
        <v>1</v>
      </c>
      <c r="C233" s="300">
        <v>1998</v>
      </c>
      <c r="D233" s="300" t="s">
        <v>98</v>
      </c>
    </row>
    <row r="234" spans="1:4" s="73" customFormat="1" ht="15" customHeight="1">
      <c r="A234" s="536"/>
      <c r="B234" s="300">
        <v>1</v>
      </c>
      <c r="C234" s="300">
        <v>1994</v>
      </c>
      <c r="D234" s="300" t="s">
        <v>98</v>
      </c>
    </row>
    <row r="235" spans="1:4" s="136" customFormat="1" ht="15" customHeight="1">
      <c r="A235" s="86" t="s">
        <v>229</v>
      </c>
      <c r="B235" s="111">
        <f>SUM(B223:B234)</f>
        <v>12</v>
      </c>
      <c r="C235" s="111"/>
      <c r="D235" s="111"/>
    </row>
    <row r="236" spans="1:4" s="72" customFormat="1" ht="15" customHeight="1">
      <c r="A236" s="41" t="s">
        <v>213</v>
      </c>
      <c r="B236" s="112">
        <f>B235+B222</f>
        <v>13</v>
      </c>
      <c r="C236" s="112"/>
      <c r="D236" s="113"/>
    </row>
    <row r="237" spans="1:4" s="51" customFormat="1" ht="15" customHeight="1">
      <c r="A237" s="37" t="s">
        <v>30</v>
      </c>
      <c r="B237" s="29"/>
      <c r="C237" s="29"/>
      <c r="D237" s="42"/>
    </row>
    <row r="238" spans="1:4" s="53" customFormat="1" ht="15" customHeight="1">
      <c r="A238" s="536"/>
      <c r="B238" s="301">
        <v>1</v>
      </c>
      <c r="C238" s="301"/>
      <c r="D238" s="300" t="s">
        <v>96</v>
      </c>
    </row>
    <row r="239" spans="1:4" s="53" customFormat="1" ht="15" customHeight="1">
      <c r="A239" s="536"/>
      <c r="B239" s="301">
        <v>1</v>
      </c>
      <c r="C239" s="301">
        <v>1997</v>
      </c>
      <c r="D239" s="300" t="s">
        <v>96</v>
      </c>
    </row>
    <row r="240" spans="1:4" s="136" customFormat="1" ht="15" customHeight="1">
      <c r="A240" s="86" t="s">
        <v>39</v>
      </c>
      <c r="B240" s="111">
        <f>SUM(B238:B239)</f>
        <v>2</v>
      </c>
      <c r="C240" s="111"/>
      <c r="D240" s="111"/>
    </row>
    <row r="241" spans="1:4" s="53" customFormat="1" ht="15" customHeight="1">
      <c r="A241" s="536"/>
      <c r="B241" s="301">
        <v>1</v>
      </c>
      <c r="C241" s="301"/>
      <c r="D241" s="300" t="s">
        <v>261</v>
      </c>
    </row>
    <row r="242" spans="1:4" s="53" customFormat="1" ht="15" customHeight="1">
      <c r="A242" s="536"/>
      <c r="B242" s="301">
        <v>1</v>
      </c>
      <c r="C242" s="301"/>
      <c r="D242" s="300" t="s">
        <v>261</v>
      </c>
    </row>
    <row r="243" spans="1:4" s="53" customFormat="1" ht="15" customHeight="1">
      <c r="A243" s="536"/>
      <c r="B243" s="301">
        <v>1</v>
      </c>
      <c r="C243" s="301"/>
      <c r="D243" s="300" t="s">
        <v>98</v>
      </c>
    </row>
    <row r="244" spans="1:4" s="53" customFormat="1" ht="15" customHeight="1">
      <c r="A244" s="536"/>
      <c r="B244" s="301">
        <v>1</v>
      </c>
      <c r="C244" s="301"/>
      <c r="D244" s="300" t="s">
        <v>98</v>
      </c>
    </row>
    <row r="245" spans="1:4" s="53" customFormat="1" ht="15" customHeight="1">
      <c r="A245" s="536"/>
      <c r="B245" s="301">
        <v>1</v>
      </c>
      <c r="C245" s="301"/>
      <c r="D245" s="300" t="s">
        <v>261</v>
      </c>
    </row>
    <row r="246" spans="1:4" s="53" customFormat="1" ht="15" customHeight="1">
      <c r="A246" s="536"/>
      <c r="B246" s="301">
        <v>1</v>
      </c>
      <c r="C246" s="301"/>
      <c r="D246" s="300" t="s">
        <v>261</v>
      </c>
    </row>
    <row r="247" spans="1:4" s="53" customFormat="1" ht="15" customHeight="1">
      <c r="A247" s="536"/>
      <c r="B247" s="301">
        <v>1</v>
      </c>
      <c r="C247" s="301">
        <v>2001</v>
      </c>
      <c r="D247" s="300" t="s">
        <v>98</v>
      </c>
    </row>
    <row r="248" spans="1:4" s="53" customFormat="1" ht="15" customHeight="1">
      <c r="A248" s="536"/>
      <c r="B248" s="301">
        <v>1</v>
      </c>
      <c r="C248" s="301">
        <v>2003</v>
      </c>
      <c r="D248" s="300" t="s">
        <v>98</v>
      </c>
    </row>
    <row r="249" spans="1:4" s="53" customFormat="1" ht="15" customHeight="1">
      <c r="A249" s="536"/>
      <c r="B249" s="301">
        <v>1</v>
      </c>
      <c r="C249" s="301">
        <v>2008</v>
      </c>
      <c r="D249" s="300" t="s">
        <v>98</v>
      </c>
    </row>
    <row r="250" spans="1:4" s="53" customFormat="1" ht="15" customHeight="1">
      <c r="A250" s="536"/>
      <c r="B250" s="301">
        <v>1</v>
      </c>
      <c r="C250" s="301"/>
      <c r="D250" s="300" t="s">
        <v>98</v>
      </c>
    </row>
    <row r="251" spans="1:4" s="53" customFormat="1" ht="15" customHeight="1">
      <c r="A251" s="536"/>
      <c r="B251" s="301">
        <v>1</v>
      </c>
      <c r="C251" s="301"/>
      <c r="D251" s="300" t="s">
        <v>98</v>
      </c>
    </row>
    <row r="252" spans="1:4" s="53" customFormat="1" ht="15" customHeight="1">
      <c r="A252" s="536"/>
      <c r="B252" s="301">
        <v>1</v>
      </c>
      <c r="C252" s="301">
        <v>2003</v>
      </c>
      <c r="D252" s="300" t="s">
        <v>98</v>
      </c>
    </row>
    <row r="253" spans="1:4" s="53" customFormat="1" ht="15" customHeight="1">
      <c r="A253" s="536"/>
      <c r="B253" s="301">
        <v>1</v>
      </c>
      <c r="C253" s="301">
        <v>2002</v>
      </c>
      <c r="D253" s="300" t="s">
        <v>98</v>
      </c>
    </row>
    <row r="254" spans="1:4" s="53" customFormat="1" ht="15" customHeight="1">
      <c r="A254" s="536"/>
      <c r="B254" s="301">
        <v>1</v>
      </c>
      <c r="C254" s="301">
        <v>2007</v>
      </c>
      <c r="D254" s="300" t="s">
        <v>98</v>
      </c>
    </row>
    <row r="255" spans="1:4" s="53" customFormat="1" ht="15" customHeight="1">
      <c r="A255" s="536"/>
      <c r="B255" s="301">
        <v>1</v>
      </c>
      <c r="C255" s="301"/>
      <c r="D255" s="300" t="s">
        <v>98</v>
      </c>
    </row>
    <row r="256" spans="1:4" s="53" customFormat="1" ht="15" customHeight="1">
      <c r="A256" s="536"/>
      <c r="B256" s="301">
        <v>1</v>
      </c>
      <c r="C256" s="301"/>
      <c r="D256" s="300" t="s">
        <v>261</v>
      </c>
    </row>
    <row r="257" spans="1:4" s="53" customFormat="1" ht="15" customHeight="1">
      <c r="A257" s="536"/>
      <c r="B257" s="301">
        <v>1</v>
      </c>
      <c r="C257" s="301">
        <v>1996</v>
      </c>
      <c r="D257" s="300" t="s">
        <v>98</v>
      </c>
    </row>
    <row r="258" spans="1:4" s="53" customFormat="1" ht="15" customHeight="1">
      <c r="A258" s="536"/>
      <c r="B258" s="301">
        <v>1</v>
      </c>
      <c r="C258" s="301">
        <v>2001</v>
      </c>
      <c r="D258" s="300" t="s">
        <v>98</v>
      </c>
    </row>
    <row r="259" spans="1:4" s="53" customFormat="1" ht="15" customHeight="1">
      <c r="A259" s="536"/>
      <c r="B259" s="301">
        <v>1</v>
      </c>
      <c r="C259" s="301">
        <v>2001</v>
      </c>
      <c r="D259" s="300" t="s">
        <v>98</v>
      </c>
    </row>
    <row r="260" spans="1:4" s="53" customFormat="1" ht="15" customHeight="1">
      <c r="A260" s="536"/>
      <c r="B260" s="301">
        <v>1</v>
      </c>
      <c r="C260" s="301"/>
      <c r="D260" s="300" t="s">
        <v>261</v>
      </c>
    </row>
    <row r="261" spans="1:4" s="53" customFormat="1" ht="15" customHeight="1">
      <c r="A261" s="536"/>
      <c r="B261" s="301">
        <v>1</v>
      </c>
      <c r="C261" s="301"/>
      <c r="D261" s="300" t="s">
        <v>261</v>
      </c>
    </row>
    <row r="262" spans="1:4" s="53" customFormat="1" ht="15" customHeight="1">
      <c r="A262" s="536"/>
      <c r="B262" s="301">
        <v>1</v>
      </c>
      <c r="C262" s="301"/>
      <c r="D262" s="300" t="s">
        <v>261</v>
      </c>
    </row>
    <row r="263" spans="1:4" s="53" customFormat="1" ht="15" customHeight="1">
      <c r="A263" s="536"/>
      <c r="B263" s="301">
        <v>1</v>
      </c>
      <c r="C263" s="301">
        <v>2001</v>
      </c>
      <c r="D263" s="300" t="s">
        <v>98</v>
      </c>
    </row>
    <row r="264" spans="1:4" s="53" customFormat="1" ht="15" customHeight="1">
      <c r="A264" s="536"/>
      <c r="B264" s="301">
        <v>1</v>
      </c>
      <c r="C264" s="301">
        <v>1997</v>
      </c>
      <c r="D264" s="300" t="s">
        <v>98</v>
      </c>
    </row>
    <row r="265" spans="1:4" s="53" customFormat="1" ht="15" customHeight="1">
      <c r="A265" s="536"/>
      <c r="B265" s="301">
        <v>1</v>
      </c>
      <c r="C265" s="301">
        <v>1998</v>
      </c>
      <c r="D265" s="300" t="s">
        <v>98</v>
      </c>
    </row>
    <row r="266" spans="1:4" s="53" customFormat="1" ht="15" customHeight="1">
      <c r="A266" s="536"/>
      <c r="B266" s="301">
        <v>1</v>
      </c>
      <c r="C266" s="301"/>
      <c r="D266" s="300" t="s">
        <v>263</v>
      </c>
    </row>
    <row r="267" spans="1:4" s="136" customFormat="1" ht="15" customHeight="1">
      <c r="A267" s="86" t="s">
        <v>229</v>
      </c>
      <c r="B267" s="111">
        <f>SUM(B241:B266)</f>
        <v>26</v>
      </c>
      <c r="C267" s="102"/>
      <c r="D267" s="102"/>
    </row>
    <row r="268" spans="1:4" s="53" customFormat="1" ht="15" customHeight="1">
      <c r="A268" s="536"/>
      <c r="B268" s="301">
        <v>1</v>
      </c>
      <c r="C268" s="301"/>
      <c r="D268" s="300" t="s">
        <v>100</v>
      </c>
    </row>
    <row r="269" spans="1:4" s="53" customFormat="1" ht="15" customHeight="1">
      <c r="A269" s="536"/>
      <c r="B269" s="301">
        <v>1</v>
      </c>
      <c r="C269" s="301">
        <v>1996</v>
      </c>
      <c r="D269" s="300" t="s">
        <v>100</v>
      </c>
    </row>
    <row r="270" spans="1:4" s="53" customFormat="1" ht="15" customHeight="1">
      <c r="A270" s="536"/>
      <c r="B270" s="301">
        <v>1</v>
      </c>
      <c r="C270" s="301">
        <v>1995</v>
      </c>
      <c r="D270" s="300" t="s">
        <v>100</v>
      </c>
    </row>
    <row r="271" spans="1:4" s="53" customFormat="1" ht="15" customHeight="1">
      <c r="A271" s="536"/>
      <c r="B271" s="301">
        <v>1</v>
      </c>
      <c r="C271" s="301">
        <v>2002</v>
      </c>
      <c r="D271" s="300" t="s">
        <v>100</v>
      </c>
    </row>
    <row r="272" spans="1:4" s="53" customFormat="1" ht="15" customHeight="1">
      <c r="A272" s="536"/>
      <c r="B272" s="301">
        <v>1</v>
      </c>
      <c r="C272" s="301">
        <v>2003</v>
      </c>
      <c r="D272" s="300" t="s">
        <v>100</v>
      </c>
    </row>
    <row r="273" spans="1:4" s="53" customFormat="1" ht="15" customHeight="1">
      <c r="A273" s="536"/>
      <c r="B273" s="301">
        <v>1</v>
      </c>
      <c r="C273" s="301">
        <v>2000</v>
      </c>
      <c r="D273" s="300" t="s">
        <v>100</v>
      </c>
    </row>
    <row r="274" spans="1:4" s="53" customFormat="1" ht="15" customHeight="1">
      <c r="A274" s="536"/>
      <c r="B274" s="301">
        <v>1</v>
      </c>
      <c r="C274" s="301">
        <v>1999</v>
      </c>
      <c r="D274" s="300" t="s">
        <v>100</v>
      </c>
    </row>
    <row r="275" spans="1:4" s="53" customFormat="1" ht="15" customHeight="1">
      <c r="A275" s="536"/>
      <c r="B275" s="301">
        <v>1</v>
      </c>
      <c r="C275" s="301">
        <v>1996</v>
      </c>
      <c r="D275" s="300" t="s">
        <v>100</v>
      </c>
    </row>
    <row r="276" spans="1:4" s="53" customFormat="1" ht="15" customHeight="1">
      <c r="A276" s="536"/>
      <c r="B276" s="301">
        <v>1</v>
      </c>
      <c r="C276" s="301">
        <v>2000</v>
      </c>
      <c r="D276" s="300" t="s">
        <v>100</v>
      </c>
    </row>
    <row r="277" spans="1:4" s="53" customFormat="1" ht="15" customHeight="1">
      <c r="A277" s="536"/>
      <c r="B277" s="301">
        <v>1</v>
      </c>
      <c r="C277" s="301"/>
      <c r="D277" s="300" t="s">
        <v>100</v>
      </c>
    </row>
    <row r="278" spans="1:4" s="136" customFormat="1" ht="15" customHeight="1">
      <c r="A278" s="86" t="s">
        <v>45</v>
      </c>
      <c r="B278" s="111">
        <f>SUM(B268:B277)</f>
        <v>10</v>
      </c>
      <c r="C278" s="111"/>
      <c r="D278" s="111"/>
    </row>
    <row r="279" spans="1:4" s="137" customFormat="1" ht="15" customHeight="1">
      <c r="A279" s="536"/>
      <c r="B279" s="300">
        <v>1</v>
      </c>
      <c r="C279" s="300">
        <v>1995</v>
      </c>
      <c r="D279" s="300" t="s">
        <v>97</v>
      </c>
    </row>
    <row r="280" spans="1:4" s="136" customFormat="1" ht="15" customHeight="1">
      <c r="A280" s="86" t="s">
        <v>69</v>
      </c>
      <c r="B280" s="111">
        <v>1</v>
      </c>
      <c r="C280" s="111"/>
      <c r="D280" s="111"/>
    </row>
    <row r="281" spans="1:4" s="72" customFormat="1" ht="15" customHeight="1">
      <c r="A281" s="41" t="s">
        <v>175</v>
      </c>
      <c r="B281" s="112">
        <f>B240+B267+B278+B280</f>
        <v>39</v>
      </c>
      <c r="C281" s="112"/>
      <c r="D281" s="113"/>
    </row>
    <row r="282" spans="1:4" s="51" customFormat="1" ht="15" customHeight="1">
      <c r="A282" s="139" t="s">
        <v>31</v>
      </c>
      <c r="B282" s="29"/>
      <c r="C282" s="29"/>
      <c r="D282" s="42"/>
    </row>
    <row r="283" spans="1:4" s="53" customFormat="1" ht="15" customHeight="1">
      <c r="A283" s="536"/>
      <c r="B283" s="301">
        <v>1</v>
      </c>
      <c r="C283" s="301">
        <v>1997</v>
      </c>
      <c r="D283" s="300" t="s">
        <v>98</v>
      </c>
    </row>
    <row r="284" spans="1:4" s="53" customFormat="1" ht="15" customHeight="1">
      <c r="A284" s="536"/>
      <c r="B284" s="301">
        <v>1</v>
      </c>
      <c r="C284" s="301">
        <v>1998</v>
      </c>
      <c r="D284" s="300" t="s">
        <v>98</v>
      </c>
    </row>
    <row r="285" spans="1:4" s="53" customFormat="1" ht="15" customHeight="1">
      <c r="A285" s="536"/>
      <c r="B285" s="301">
        <v>1</v>
      </c>
      <c r="C285" s="301">
        <v>2006</v>
      </c>
      <c r="D285" s="300" t="s">
        <v>98</v>
      </c>
    </row>
    <row r="286" spans="1:4" s="136" customFormat="1" ht="15" customHeight="1">
      <c r="A286" s="86" t="s">
        <v>229</v>
      </c>
      <c r="B286" s="111">
        <f>SUM(B283:B285)</f>
        <v>3</v>
      </c>
      <c r="C286" s="111"/>
      <c r="D286" s="111"/>
    </row>
    <row r="287" spans="1:4" s="53" customFormat="1" ht="15" customHeight="1">
      <c r="A287" s="536"/>
      <c r="B287" s="301">
        <v>1</v>
      </c>
      <c r="C287" s="301">
        <v>1996</v>
      </c>
      <c r="D287" s="300" t="s">
        <v>100</v>
      </c>
    </row>
    <row r="288" spans="1:4" s="53" customFormat="1" ht="15" customHeight="1">
      <c r="A288" s="536"/>
      <c r="B288" s="301">
        <v>1</v>
      </c>
      <c r="C288" s="301">
        <v>1999</v>
      </c>
      <c r="D288" s="300" t="s">
        <v>100</v>
      </c>
    </row>
    <row r="289" spans="1:4" s="53" customFormat="1" ht="15" customHeight="1">
      <c r="A289" s="536"/>
      <c r="B289" s="301">
        <v>1</v>
      </c>
      <c r="C289" s="301">
        <v>2001</v>
      </c>
      <c r="D289" s="300" t="s">
        <v>100</v>
      </c>
    </row>
    <row r="290" spans="1:4" s="53" customFormat="1" ht="15" customHeight="1">
      <c r="A290" s="536"/>
      <c r="B290" s="301">
        <v>1</v>
      </c>
      <c r="C290" s="301">
        <v>2005</v>
      </c>
      <c r="D290" s="300" t="s">
        <v>100</v>
      </c>
    </row>
    <row r="291" spans="1:4" s="53" customFormat="1" ht="15" customHeight="1">
      <c r="A291" s="536"/>
      <c r="B291" s="301">
        <v>1</v>
      </c>
      <c r="C291" s="301">
        <v>1994</v>
      </c>
      <c r="D291" s="300" t="s">
        <v>100</v>
      </c>
    </row>
    <row r="292" spans="1:4" s="53" customFormat="1" ht="15" customHeight="1">
      <c r="A292" s="536"/>
      <c r="B292" s="301">
        <v>1</v>
      </c>
      <c r="C292" s="301"/>
      <c r="D292" s="300" t="s">
        <v>100</v>
      </c>
    </row>
    <row r="293" spans="1:4" s="53" customFormat="1" ht="15" customHeight="1">
      <c r="A293" s="536"/>
      <c r="B293" s="301">
        <v>1</v>
      </c>
      <c r="C293" s="301">
        <v>2000</v>
      </c>
      <c r="D293" s="300" t="s">
        <v>100</v>
      </c>
    </row>
    <row r="294" spans="1:4" s="136" customFormat="1" ht="15" customHeight="1">
      <c r="A294" s="86" t="s">
        <v>45</v>
      </c>
      <c r="B294" s="111">
        <f>SUM(B287:B293)</f>
        <v>7</v>
      </c>
      <c r="C294" s="111"/>
      <c r="D294" s="111"/>
    </row>
    <row r="295" spans="1:4" s="53" customFormat="1" ht="15" customHeight="1">
      <c r="A295" s="86" t="s">
        <v>223</v>
      </c>
      <c r="B295" s="88">
        <f>B286+B294</f>
        <v>10</v>
      </c>
      <c r="C295" s="88"/>
      <c r="D295" s="111"/>
    </row>
    <row r="296" spans="1:4" s="51" customFormat="1" ht="15" customHeight="1">
      <c r="A296" s="37" t="s">
        <v>32</v>
      </c>
      <c r="B296" s="29"/>
      <c r="C296" s="29"/>
      <c r="D296" s="42"/>
    </row>
    <row r="297" spans="1:4" s="53" customFormat="1" ht="15" customHeight="1">
      <c r="A297" s="536"/>
      <c r="B297" s="301">
        <v>1</v>
      </c>
      <c r="C297" s="301">
        <v>1994</v>
      </c>
      <c r="D297" s="300" t="s">
        <v>96</v>
      </c>
    </row>
    <row r="298" spans="1:4" s="136" customFormat="1" ht="15" customHeight="1">
      <c r="A298" s="86" t="s">
        <v>39</v>
      </c>
      <c r="B298" s="111">
        <f>SUM(B297)</f>
        <v>1</v>
      </c>
      <c r="C298" s="111"/>
      <c r="D298" s="111"/>
    </row>
    <row r="299" spans="1:4" s="53" customFormat="1" ht="15" customHeight="1">
      <c r="A299" s="536"/>
      <c r="B299" s="301">
        <v>1</v>
      </c>
      <c r="C299" s="301">
        <v>1999</v>
      </c>
      <c r="D299" s="300" t="s">
        <v>99</v>
      </c>
    </row>
    <row r="300" spans="1:4" s="53" customFormat="1" ht="15" customHeight="1">
      <c r="A300" s="536"/>
      <c r="B300" s="301">
        <v>1</v>
      </c>
      <c r="C300" s="301">
        <v>1994</v>
      </c>
      <c r="D300" s="300" t="s">
        <v>98</v>
      </c>
    </row>
    <row r="301" spans="1:4" s="53" customFormat="1" ht="15" customHeight="1">
      <c r="A301" s="536"/>
      <c r="B301" s="301">
        <v>1</v>
      </c>
      <c r="C301" s="301">
        <v>1998</v>
      </c>
      <c r="D301" s="300" t="s">
        <v>98</v>
      </c>
    </row>
    <row r="302" spans="1:4" s="53" customFormat="1" ht="15" customHeight="1">
      <c r="A302" s="536"/>
      <c r="B302" s="301">
        <v>1</v>
      </c>
      <c r="C302" s="301">
        <v>2001</v>
      </c>
      <c r="D302" s="300" t="s">
        <v>98</v>
      </c>
    </row>
    <row r="303" spans="1:4" s="53" customFormat="1" ht="15" customHeight="1">
      <c r="A303" s="536"/>
      <c r="B303" s="301">
        <v>1</v>
      </c>
      <c r="C303" s="301"/>
      <c r="D303" s="300" t="s">
        <v>290</v>
      </c>
    </row>
    <row r="304" spans="1:4" s="53" customFormat="1" ht="15" customHeight="1">
      <c r="A304" s="536"/>
      <c r="B304" s="301">
        <v>1</v>
      </c>
      <c r="C304" s="301"/>
      <c r="D304" s="300" t="s">
        <v>290</v>
      </c>
    </row>
    <row r="305" spans="1:4" s="53" customFormat="1" ht="15" customHeight="1">
      <c r="A305" s="536"/>
      <c r="B305" s="301">
        <v>1</v>
      </c>
      <c r="C305" s="301">
        <v>1997</v>
      </c>
      <c r="D305" s="300" t="s">
        <v>98</v>
      </c>
    </row>
    <row r="306" spans="1:4" s="53" customFormat="1" ht="15" customHeight="1">
      <c r="A306" s="536"/>
      <c r="B306" s="301">
        <v>1</v>
      </c>
      <c r="C306" s="301">
        <v>2007</v>
      </c>
      <c r="D306" s="300" t="s">
        <v>98</v>
      </c>
    </row>
    <row r="307" spans="1:4" s="53" customFormat="1" ht="15" customHeight="1">
      <c r="A307" s="536"/>
      <c r="B307" s="301">
        <v>1</v>
      </c>
      <c r="C307" s="301">
        <v>2010</v>
      </c>
      <c r="D307" s="300" t="s">
        <v>98</v>
      </c>
    </row>
    <row r="308" spans="1:4" s="53" customFormat="1" ht="15" customHeight="1">
      <c r="A308" s="536"/>
      <c r="B308" s="301">
        <v>1</v>
      </c>
      <c r="C308" s="301">
        <v>2006</v>
      </c>
      <c r="D308" s="300" t="s">
        <v>98</v>
      </c>
    </row>
    <row r="309" spans="1:4" s="53" customFormat="1" ht="15" customHeight="1">
      <c r="A309" s="536"/>
      <c r="B309" s="301">
        <v>1</v>
      </c>
      <c r="C309" s="301">
        <v>2008</v>
      </c>
      <c r="D309" s="300" t="s">
        <v>98</v>
      </c>
    </row>
    <row r="310" spans="1:4" s="53" customFormat="1" ht="15" customHeight="1">
      <c r="A310" s="536"/>
      <c r="B310" s="301">
        <v>1</v>
      </c>
      <c r="C310" s="301">
        <v>1994</v>
      </c>
      <c r="D310" s="300" t="s">
        <v>98</v>
      </c>
    </row>
    <row r="311" spans="1:4" s="53" customFormat="1" ht="15" customHeight="1">
      <c r="A311" s="536"/>
      <c r="B311" s="301">
        <v>1</v>
      </c>
      <c r="C311" s="301">
        <v>1999</v>
      </c>
      <c r="D311" s="300" t="s">
        <v>98</v>
      </c>
    </row>
    <row r="312" spans="1:4" s="53" customFormat="1" ht="15" customHeight="1">
      <c r="A312" s="536"/>
      <c r="B312" s="301">
        <v>1</v>
      </c>
      <c r="C312" s="301">
        <v>1996</v>
      </c>
      <c r="D312" s="300" t="s">
        <v>98</v>
      </c>
    </row>
    <row r="313" spans="1:4" s="53" customFormat="1" ht="15" customHeight="1">
      <c r="A313" s="536"/>
      <c r="B313" s="301">
        <v>1</v>
      </c>
      <c r="C313" s="301"/>
      <c r="D313" s="300" t="s">
        <v>98</v>
      </c>
    </row>
    <row r="314" spans="1:4" s="53" customFormat="1" ht="15" customHeight="1">
      <c r="A314" s="536"/>
      <c r="B314" s="301">
        <v>1</v>
      </c>
      <c r="C314" s="301"/>
      <c r="D314" s="300" t="s">
        <v>290</v>
      </c>
    </row>
    <row r="315" spans="1:4" s="53" customFormat="1" ht="15" customHeight="1">
      <c r="A315" s="536"/>
      <c r="B315" s="301">
        <v>1</v>
      </c>
      <c r="C315" s="301"/>
      <c r="D315" s="300" t="s">
        <v>98</v>
      </c>
    </row>
    <row r="316" spans="1:4" s="53" customFormat="1" ht="15" customHeight="1">
      <c r="A316" s="536"/>
      <c r="B316" s="301">
        <v>1</v>
      </c>
      <c r="C316" s="301"/>
      <c r="D316" s="300" t="s">
        <v>98</v>
      </c>
    </row>
    <row r="317" spans="1:4" s="53" customFormat="1" ht="15" customHeight="1">
      <c r="A317" s="536"/>
      <c r="B317" s="301">
        <v>1</v>
      </c>
      <c r="C317" s="301"/>
      <c r="D317" s="300" t="s">
        <v>98</v>
      </c>
    </row>
    <row r="318" spans="1:4" s="53" customFormat="1" ht="15" customHeight="1">
      <c r="A318" s="536"/>
      <c r="B318" s="301">
        <v>1</v>
      </c>
      <c r="C318" s="301">
        <v>2006</v>
      </c>
      <c r="D318" s="300" t="s">
        <v>98</v>
      </c>
    </row>
    <row r="319" spans="1:4" s="53" customFormat="1" ht="15" customHeight="1">
      <c r="A319" s="536"/>
      <c r="B319" s="301">
        <v>1</v>
      </c>
      <c r="C319" s="301">
        <v>2003</v>
      </c>
      <c r="D319" s="300" t="s">
        <v>98</v>
      </c>
    </row>
    <row r="320" spans="1:4" s="53" customFormat="1" ht="15" customHeight="1">
      <c r="A320" s="536"/>
      <c r="B320" s="301">
        <v>1</v>
      </c>
      <c r="C320" s="301"/>
      <c r="D320" s="300" t="s">
        <v>98</v>
      </c>
    </row>
    <row r="321" spans="1:4" s="53" customFormat="1" ht="15" customHeight="1">
      <c r="A321" s="536"/>
      <c r="B321" s="301">
        <v>1</v>
      </c>
      <c r="C321" s="301">
        <v>1998</v>
      </c>
      <c r="D321" s="300" t="s">
        <v>98</v>
      </c>
    </row>
    <row r="322" spans="1:4" s="53" customFormat="1" ht="15" customHeight="1">
      <c r="A322" s="536"/>
      <c r="B322" s="301">
        <v>1</v>
      </c>
      <c r="C322" s="301">
        <v>1998</v>
      </c>
      <c r="D322" s="300" t="s">
        <v>98</v>
      </c>
    </row>
    <row r="323" spans="1:4" s="53" customFormat="1" ht="15" customHeight="1">
      <c r="A323" s="536"/>
      <c r="B323" s="301">
        <v>1</v>
      </c>
      <c r="C323" s="301">
        <v>2003</v>
      </c>
      <c r="D323" s="300" t="s">
        <v>98</v>
      </c>
    </row>
    <row r="324" spans="1:4" s="53" customFormat="1" ht="15" customHeight="1">
      <c r="A324" s="536"/>
      <c r="B324" s="301">
        <v>1</v>
      </c>
      <c r="C324" s="301">
        <v>1997</v>
      </c>
      <c r="D324" s="300" t="s">
        <v>98</v>
      </c>
    </row>
    <row r="325" spans="1:4" s="53" customFormat="1" ht="15" customHeight="1">
      <c r="A325" s="536"/>
      <c r="B325" s="301">
        <v>1</v>
      </c>
      <c r="C325" s="301">
        <v>1994</v>
      </c>
      <c r="D325" s="300" t="s">
        <v>98</v>
      </c>
    </row>
    <row r="326" spans="1:4" s="53" customFormat="1" ht="15" customHeight="1">
      <c r="A326" s="536"/>
      <c r="B326" s="301">
        <v>1</v>
      </c>
      <c r="C326" s="301">
        <v>2001</v>
      </c>
      <c r="D326" s="300" t="s">
        <v>98</v>
      </c>
    </row>
    <row r="327" spans="1:4" s="53" customFormat="1" ht="15" customHeight="1">
      <c r="A327" s="536"/>
      <c r="B327" s="301">
        <v>1</v>
      </c>
      <c r="C327" s="301">
        <v>1998</v>
      </c>
      <c r="D327" s="300" t="s">
        <v>98</v>
      </c>
    </row>
    <row r="328" spans="1:4" s="53" customFormat="1" ht="15" customHeight="1">
      <c r="A328" s="536"/>
      <c r="B328" s="301">
        <v>1</v>
      </c>
      <c r="C328" s="301">
        <v>2005</v>
      </c>
      <c r="D328" s="300" t="s">
        <v>98</v>
      </c>
    </row>
    <row r="329" spans="1:4" s="53" customFormat="1" ht="15" customHeight="1">
      <c r="A329" s="536"/>
      <c r="B329" s="301">
        <v>1</v>
      </c>
      <c r="C329" s="301">
        <v>2000</v>
      </c>
      <c r="D329" s="300" t="s">
        <v>98</v>
      </c>
    </row>
    <row r="330" spans="1:4" s="53" customFormat="1" ht="15" customHeight="1">
      <c r="A330" s="536"/>
      <c r="B330" s="301">
        <v>1</v>
      </c>
      <c r="C330" s="301">
        <v>2007</v>
      </c>
      <c r="D330" s="300" t="s">
        <v>98</v>
      </c>
    </row>
    <row r="331" spans="1:4" s="53" customFormat="1" ht="15" customHeight="1">
      <c r="A331" s="536"/>
      <c r="B331" s="301">
        <v>1</v>
      </c>
      <c r="C331" s="301">
        <v>2003</v>
      </c>
      <c r="D331" s="300" t="s">
        <v>98</v>
      </c>
    </row>
    <row r="332" spans="1:4" s="53" customFormat="1" ht="15" customHeight="1">
      <c r="A332" s="536"/>
      <c r="B332" s="301">
        <v>1</v>
      </c>
      <c r="C332" s="301">
        <v>2001</v>
      </c>
      <c r="D332" s="300" t="s">
        <v>98</v>
      </c>
    </row>
    <row r="333" spans="1:4" s="136" customFormat="1" ht="15" customHeight="1">
      <c r="A333" s="86" t="s">
        <v>229</v>
      </c>
      <c r="B333" s="111">
        <f>SUM(B299:B332)</f>
        <v>34</v>
      </c>
      <c r="C333" s="111"/>
      <c r="D333" s="111"/>
    </row>
    <row r="334" spans="1:4" s="53" customFormat="1" ht="15" customHeight="1">
      <c r="A334" s="536"/>
      <c r="B334" s="301">
        <v>1</v>
      </c>
      <c r="C334" s="301"/>
      <c r="D334" s="300" t="s">
        <v>100</v>
      </c>
    </row>
    <row r="335" spans="1:4" s="53" customFormat="1" ht="15" customHeight="1">
      <c r="A335" s="536"/>
      <c r="B335" s="301">
        <v>1</v>
      </c>
      <c r="C335" s="301">
        <v>1998</v>
      </c>
      <c r="D335" s="300" t="s">
        <v>100</v>
      </c>
    </row>
    <row r="336" spans="1:4" s="53" customFormat="1" ht="15" customHeight="1">
      <c r="A336" s="536"/>
      <c r="B336" s="301">
        <v>1</v>
      </c>
      <c r="C336" s="301">
        <v>1992</v>
      </c>
      <c r="D336" s="300" t="s">
        <v>100</v>
      </c>
    </row>
    <row r="337" spans="1:4" s="53" customFormat="1" ht="15" customHeight="1">
      <c r="A337" s="536"/>
      <c r="B337" s="301">
        <v>1</v>
      </c>
      <c r="C337" s="301">
        <v>2001</v>
      </c>
      <c r="D337" s="300" t="s">
        <v>100</v>
      </c>
    </row>
    <row r="338" spans="1:4" s="53" customFormat="1" ht="15" customHeight="1">
      <c r="A338" s="536"/>
      <c r="B338" s="301">
        <v>1</v>
      </c>
      <c r="C338" s="301">
        <v>1995</v>
      </c>
      <c r="D338" s="300" t="s">
        <v>100</v>
      </c>
    </row>
    <row r="339" spans="1:4" s="53" customFormat="1" ht="15" customHeight="1">
      <c r="A339" s="536"/>
      <c r="B339" s="301">
        <v>1</v>
      </c>
      <c r="C339" s="301">
        <v>2000</v>
      </c>
      <c r="D339" s="300" t="s">
        <v>100</v>
      </c>
    </row>
    <row r="340" spans="1:4" s="53" customFormat="1" ht="15" customHeight="1">
      <c r="A340" s="536"/>
      <c r="B340" s="301">
        <v>1</v>
      </c>
      <c r="C340" s="301">
        <v>2002</v>
      </c>
      <c r="D340" s="300" t="s">
        <v>100</v>
      </c>
    </row>
    <row r="341" spans="1:4" s="53" customFormat="1" ht="15" customHeight="1">
      <c r="A341" s="536"/>
      <c r="B341" s="301">
        <v>1</v>
      </c>
      <c r="C341" s="301"/>
      <c r="D341" s="300" t="s">
        <v>100</v>
      </c>
    </row>
    <row r="342" spans="1:4" s="53" customFormat="1" ht="15" customHeight="1">
      <c r="A342" s="536"/>
      <c r="B342" s="301">
        <v>1</v>
      </c>
      <c r="C342" s="301"/>
      <c r="D342" s="300" t="s">
        <v>100</v>
      </c>
    </row>
    <row r="343" spans="1:4" s="53" customFormat="1" ht="15" customHeight="1">
      <c r="A343" s="536"/>
      <c r="B343" s="301">
        <v>1</v>
      </c>
      <c r="C343" s="301"/>
      <c r="D343" s="300" t="s">
        <v>100</v>
      </c>
    </row>
    <row r="344" spans="1:4" s="136" customFormat="1" ht="15" customHeight="1">
      <c r="A344" s="86" t="s">
        <v>45</v>
      </c>
      <c r="B344" s="111">
        <f>SUM(B334:B343)</f>
        <v>10</v>
      </c>
      <c r="C344" s="111"/>
      <c r="D344" s="111"/>
    </row>
    <row r="345" spans="1:4" s="53" customFormat="1" ht="15" customHeight="1">
      <c r="A345" s="86" t="s">
        <v>83</v>
      </c>
      <c r="B345" s="88">
        <f>B298+B333+B344</f>
        <v>45</v>
      </c>
      <c r="C345" s="88"/>
      <c r="D345" s="111"/>
    </row>
    <row r="346" spans="1:4" ht="15" customHeight="1">
      <c r="A346" s="39" t="s">
        <v>186</v>
      </c>
      <c r="B346" s="103">
        <f>B345+B295+B281+B236+B219+B199+B177+B157+B41</f>
        <v>300</v>
      </c>
      <c r="C346" s="102"/>
      <c r="D346" s="102"/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</sheetPr>
  <dimension ref="A1:IT110"/>
  <sheetViews>
    <sheetView workbookViewId="0" topLeftCell="A1">
      <selection activeCell="A107" sqref="A107"/>
    </sheetView>
  </sheetViews>
  <sheetFormatPr defaultColWidth="9.140625" defaultRowHeight="12.75"/>
  <cols>
    <col min="1" max="1" width="63.57421875" style="1" customWidth="1"/>
    <col min="2" max="2" width="26.57421875" style="1" customWidth="1"/>
    <col min="3" max="3" width="9.57421875" style="1" customWidth="1"/>
    <col min="4" max="4" width="32.7109375" style="9" customWidth="1"/>
    <col min="5" max="5" width="13.57421875" style="2" customWidth="1"/>
    <col min="6" max="6" width="38.7109375" style="196" customWidth="1"/>
    <col min="7" max="7" width="11.57421875" style="18" hidden="1" customWidth="1"/>
    <col min="8" max="8" width="14.421875" style="9" hidden="1" customWidth="1"/>
    <col min="9" max="9" width="25.140625" style="224" customWidth="1"/>
    <col min="10" max="12" width="11.57421875" style="224" customWidth="1"/>
    <col min="13" max="16384" width="11.57421875" style="9" customWidth="1"/>
  </cols>
  <sheetData>
    <row r="1" spans="1:12" s="3" customFormat="1" ht="30" customHeight="1">
      <c r="A1" s="583" t="s">
        <v>5</v>
      </c>
      <c r="B1" s="583"/>
      <c r="C1" s="583"/>
      <c r="D1" s="583"/>
      <c r="E1" s="583"/>
      <c r="F1" s="583"/>
      <c r="G1" s="25"/>
      <c r="I1" s="283">
        <v>40070172</v>
      </c>
      <c r="J1" s="237"/>
      <c r="K1" s="237"/>
      <c r="L1" s="237"/>
    </row>
    <row r="2" spans="1:12" s="4" customFormat="1" ht="39" customHeight="1">
      <c r="A2" s="551" t="s">
        <v>170</v>
      </c>
      <c r="B2" s="575"/>
      <c r="C2" s="575"/>
      <c r="D2" s="575"/>
      <c r="E2" s="575"/>
      <c r="F2" s="575"/>
      <c r="G2" s="13"/>
      <c r="I2" s="238"/>
      <c r="J2" s="238"/>
      <c r="K2" s="238"/>
      <c r="L2" s="238"/>
    </row>
    <row r="3" spans="1:12" s="5" customFormat="1" ht="15" customHeight="1">
      <c r="A3" s="44" t="s">
        <v>165</v>
      </c>
      <c r="B3" s="44" t="s">
        <v>41</v>
      </c>
      <c r="C3" s="45" t="s">
        <v>160</v>
      </c>
      <c r="D3" s="44" t="s">
        <v>42</v>
      </c>
      <c r="E3" s="45" t="s">
        <v>198</v>
      </c>
      <c r="F3" s="78" t="s">
        <v>153</v>
      </c>
      <c r="G3" s="14"/>
      <c r="I3" s="204"/>
      <c r="J3" s="204"/>
      <c r="K3" s="204"/>
      <c r="L3" s="204"/>
    </row>
    <row r="4" spans="1:12" s="5" customFormat="1" ht="15" customHeight="1">
      <c r="A4" s="44"/>
      <c r="B4" s="44"/>
      <c r="C4" s="45"/>
      <c r="D4" s="44"/>
      <c r="E4" s="45"/>
      <c r="F4" s="141">
        <v>40070172</v>
      </c>
      <c r="G4" s="14"/>
      <c r="I4" s="204"/>
      <c r="J4" s="204"/>
      <c r="K4" s="204"/>
      <c r="L4" s="204"/>
    </row>
    <row r="5" spans="1:12" s="6" customFormat="1" ht="15" customHeight="1">
      <c r="A5" s="37" t="s">
        <v>26</v>
      </c>
      <c r="B5" s="37"/>
      <c r="C5" s="29"/>
      <c r="D5" s="40"/>
      <c r="E5" s="29"/>
      <c r="F5" s="206"/>
      <c r="G5" s="15"/>
      <c r="I5" s="7"/>
      <c r="J5" s="7"/>
      <c r="K5" s="7"/>
      <c r="L5" s="7"/>
    </row>
    <row r="6" spans="1:7" s="53" customFormat="1" ht="15" customHeight="1">
      <c r="A6" s="350" t="s">
        <v>291</v>
      </c>
      <c r="B6" s="317"/>
      <c r="C6" s="351"/>
      <c r="D6" s="352"/>
      <c r="E6" s="353"/>
      <c r="F6" s="353">
        <f>15168.96+276.85</f>
        <v>15445.81</v>
      </c>
      <c r="G6" s="146">
        <v>4965.51</v>
      </c>
    </row>
    <row r="7" spans="1:7" s="7" customFormat="1" ht="15" customHeight="1">
      <c r="A7" s="536"/>
      <c r="B7" s="300"/>
      <c r="C7" s="301">
        <v>2</v>
      </c>
      <c r="D7" s="300" t="s">
        <v>118</v>
      </c>
      <c r="E7" s="301" t="s">
        <v>297</v>
      </c>
      <c r="F7" s="353">
        <v>33000</v>
      </c>
      <c r="G7" s="21" t="s">
        <v>270</v>
      </c>
    </row>
    <row r="8" spans="1:7" s="7" customFormat="1" ht="15" customHeight="1">
      <c r="A8" s="536"/>
      <c r="B8" s="359"/>
      <c r="C8" s="411">
        <v>1</v>
      </c>
      <c r="D8" s="359" t="s">
        <v>300</v>
      </c>
      <c r="E8" s="411" t="s">
        <v>116</v>
      </c>
      <c r="F8" s="369">
        <v>11130.91</v>
      </c>
      <c r="G8" s="21" t="s">
        <v>270</v>
      </c>
    </row>
    <row r="9" spans="1:254" s="282" customFormat="1" ht="15" customHeight="1">
      <c r="A9" s="536"/>
      <c r="B9" s="520"/>
      <c r="C9" s="520"/>
      <c r="D9" s="300" t="s">
        <v>133</v>
      </c>
      <c r="E9" s="521" t="s">
        <v>137</v>
      </c>
      <c r="F9" s="522">
        <v>6370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</row>
    <row r="10" spans="1:254" s="7" customFormat="1" ht="15" customHeight="1">
      <c r="A10" s="536"/>
      <c r="B10" s="523"/>
      <c r="C10" s="523"/>
      <c r="D10" s="524" t="s">
        <v>120</v>
      </c>
      <c r="E10" s="525" t="s">
        <v>138</v>
      </c>
      <c r="F10" s="526">
        <v>4620.01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</row>
    <row r="11" spans="1:7" s="10" customFormat="1" ht="15" customHeight="1">
      <c r="A11" s="536"/>
      <c r="B11" s="300"/>
      <c r="C11" s="300"/>
      <c r="D11" s="300" t="s">
        <v>120</v>
      </c>
      <c r="E11" s="300" t="s">
        <v>303</v>
      </c>
      <c r="F11" s="353">
        <v>420.08</v>
      </c>
      <c r="G11" s="21" t="s">
        <v>270</v>
      </c>
    </row>
    <row r="12" spans="1:7" s="10" customFormat="1" ht="15" customHeight="1">
      <c r="A12" s="375" t="s">
        <v>278</v>
      </c>
      <c r="B12" s="300"/>
      <c r="C12" s="300"/>
      <c r="D12" s="300" t="s">
        <v>119</v>
      </c>
      <c r="E12" s="300" t="s">
        <v>139</v>
      </c>
      <c r="F12" s="353">
        <v>855.19</v>
      </c>
      <c r="G12" s="16" t="s">
        <v>276</v>
      </c>
    </row>
    <row r="13" spans="1:12" s="8" customFormat="1" ht="15" customHeight="1">
      <c r="A13" s="41" t="s">
        <v>40</v>
      </c>
      <c r="B13" s="113"/>
      <c r="C13" s="121">
        <f>SUM(C5:C12)</f>
        <v>3</v>
      </c>
      <c r="D13" s="113"/>
      <c r="E13" s="113"/>
      <c r="F13" s="147">
        <f>SUM(F6:F12)</f>
        <v>71842</v>
      </c>
      <c r="G13" s="17"/>
      <c r="I13" s="240"/>
      <c r="J13" s="240"/>
      <c r="K13" s="240"/>
      <c r="L13" s="240"/>
    </row>
    <row r="14" spans="1:12" s="6" customFormat="1" ht="15" customHeight="1">
      <c r="A14" s="120" t="s">
        <v>24</v>
      </c>
      <c r="B14" s="138"/>
      <c r="C14" s="36"/>
      <c r="D14" s="138"/>
      <c r="E14" s="36"/>
      <c r="F14" s="206"/>
      <c r="G14" s="15"/>
      <c r="I14" s="7"/>
      <c r="J14" s="7"/>
      <c r="K14" s="7"/>
      <c r="L14" s="7"/>
    </row>
    <row r="15" spans="1:7" s="53" customFormat="1" ht="15" customHeight="1">
      <c r="A15" s="350" t="s">
        <v>291</v>
      </c>
      <c r="B15" s="317"/>
      <c r="C15" s="351"/>
      <c r="D15" s="352"/>
      <c r="E15" s="353"/>
      <c r="F15" s="353">
        <f>97535.81-92101.43+240.01+10.34</f>
        <v>5684.730000000005</v>
      </c>
      <c r="G15" s="146">
        <v>4965.51</v>
      </c>
    </row>
    <row r="16" spans="1:7" s="242" customFormat="1" ht="15" customHeight="1">
      <c r="A16" s="536"/>
      <c r="B16" s="300"/>
      <c r="C16" s="301">
        <v>1</v>
      </c>
      <c r="D16" s="300" t="s">
        <v>126</v>
      </c>
      <c r="E16" s="301" t="s">
        <v>111</v>
      </c>
      <c r="F16" s="527">
        <v>9393.41</v>
      </c>
      <c r="G16" s="241"/>
    </row>
    <row r="17" spans="1:10" s="242" customFormat="1" ht="15" customHeight="1">
      <c r="A17" s="536"/>
      <c r="B17" s="300"/>
      <c r="C17" s="301">
        <v>1</v>
      </c>
      <c r="D17" s="528" t="s">
        <v>215</v>
      </c>
      <c r="E17" s="301" t="s">
        <v>277</v>
      </c>
      <c r="F17" s="527">
        <v>8719.68</v>
      </c>
      <c r="G17" s="241"/>
      <c r="J17" s="255"/>
    </row>
    <row r="18" spans="1:12" s="219" customFormat="1" ht="15" customHeight="1">
      <c r="A18" s="536"/>
      <c r="B18" s="300"/>
      <c r="C18" s="301">
        <v>1</v>
      </c>
      <c r="D18" s="318" t="s">
        <v>298</v>
      </c>
      <c r="E18" s="301" t="s">
        <v>112</v>
      </c>
      <c r="F18" s="527">
        <v>7696</v>
      </c>
      <c r="G18" s="218"/>
      <c r="I18" s="242"/>
      <c r="J18" s="242"/>
      <c r="K18" s="242"/>
      <c r="L18" s="242"/>
    </row>
    <row r="19" spans="1:7" s="242" customFormat="1" ht="15" customHeight="1">
      <c r="A19" s="536"/>
      <c r="B19" s="300"/>
      <c r="C19" s="301">
        <v>1</v>
      </c>
      <c r="D19" s="300" t="s">
        <v>279</v>
      </c>
      <c r="E19" s="301" t="s">
        <v>139</v>
      </c>
      <c r="F19" s="527">
        <v>35418.6</v>
      </c>
      <c r="G19" s="241"/>
    </row>
    <row r="20" spans="1:7" s="7" customFormat="1" ht="28.5" customHeight="1">
      <c r="A20" s="536"/>
      <c r="B20" s="300" t="s">
        <v>150</v>
      </c>
      <c r="C20" s="301">
        <v>5</v>
      </c>
      <c r="D20" s="300" t="s">
        <v>130</v>
      </c>
      <c r="E20" s="301" t="s">
        <v>147</v>
      </c>
      <c r="F20" s="353">
        <v>11710</v>
      </c>
      <c r="G20" s="16" t="s">
        <v>276</v>
      </c>
    </row>
    <row r="21" spans="1:10" s="242" customFormat="1" ht="15" customHeight="1">
      <c r="A21" s="536"/>
      <c r="B21" s="300"/>
      <c r="C21" s="301">
        <v>1</v>
      </c>
      <c r="D21" s="300" t="s">
        <v>130</v>
      </c>
      <c r="E21" s="301" t="s">
        <v>106</v>
      </c>
      <c r="F21" s="527">
        <v>105.55</v>
      </c>
      <c r="G21" s="241"/>
      <c r="J21" s="255"/>
    </row>
    <row r="22" spans="1:7" s="7" customFormat="1" ht="27.75" customHeight="1">
      <c r="A22" s="536"/>
      <c r="B22" s="300" t="s">
        <v>281</v>
      </c>
      <c r="C22" s="301">
        <v>1</v>
      </c>
      <c r="D22" s="318" t="s">
        <v>217</v>
      </c>
      <c r="E22" s="301" t="s">
        <v>139</v>
      </c>
      <c r="F22" s="353">
        <v>27305.71</v>
      </c>
      <c r="G22" s="16" t="s">
        <v>276</v>
      </c>
    </row>
    <row r="23" spans="1:7" s="7" customFormat="1" ht="15" customHeight="1">
      <c r="A23" s="536"/>
      <c r="B23" s="300" t="s">
        <v>149</v>
      </c>
      <c r="C23" s="301">
        <v>3</v>
      </c>
      <c r="D23" s="300" t="s">
        <v>121</v>
      </c>
      <c r="E23" s="301" t="s">
        <v>107</v>
      </c>
      <c r="F23" s="353">
        <v>5520</v>
      </c>
      <c r="G23" s="16" t="s">
        <v>276</v>
      </c>
    </row>
    <row r="24" spans="1:7" s="7" customFormat="1" ht="15" customHeight="1">
      <c r="A24" s="536"/>
      <c r="B24" s="300"/>
      <c r="C24" s="301">
        <v>4</v>
      </c>
      <c r="D24" s="300" t="s">
        <v>123</v>
      </c>
      <c r="E24" s="301" t="s">
        <v>173</v>
      </c>
      <c r="F24" s="353">
        <v>6533</v>
      </c>
      <c r="G24" s="16" t="s">
        <v>276</v>
      </c>
    </row>
    <row r="25" spans="1:7" s="7" customFormat="1" ht="15" customHeight="1">
      <c r="A25" s="536"/>
      <c r="B25" s="300" t="s">
        <v>281</v>
      </c>
      <c r="C25" s="301">
        <v>1</v>
      </c>
      <c r="D25" s="300" t="s">
        <v>94</v>
      </c>
      <c r="E25" s="301" t="s">
        <v>139</v>
      </c>
      <c r="F25" s="353">
        <v>30010.03</v>
      </c>
      <c r="G25" s="21" t="s">
        <v>270</v>
      </c>
    </row>
    <row r="26" spans="1:7" s="7" customFormat="1" ht="31.5" customHeight="1">
      <c r="A26" s="536"/>
      <c r="B26" s="300" t="s">
        <v>151</v>
      </c>
      <c r="C26" s="301">
        <v>5</v>
      </c>
      <c r="D26" s="300" t="s">
        <v>120</v>
      </c>
      <c r="E26" s="301" t="s">
        <v>220</v>
      </c>
      <c r="F26" s="353">
        <f>10360.13</f>
        <v>10360.13</v>
      </c>
      <c r="G26" s="21" t="s">
        <v>270</v>
      </c>
    </row>
    <row r="27" spans="1:7" s="7" customFormat="1" ht="22.5" customHeight="1">
      <c r="A27" s="536"/>
      <c r="B27" s="300" t="s">
        <v>281</v>
      </c>
      <c r="C27" s="301">
        <v>1</v>
      </c>
      <c r="D27" s="300" t="s">
        <v>219</v>
      </c>
      <c r="E27" s="301" t="s">
        <v>108</v>
      </c>
      <c r="F27" s="353">
        <v>2838.2</v>
      </c>
      <c r="G27" s="21"/>
    </row>
    <row r="28" spans="1:7" s="7" customFormat="1" ht="22.5" customHeight="1">
      <c r="A28" s="536"/>
      <c r="B28" s="300" t="s">
        <v>281</v>
      </c>
      <c r="C28" s="301">
        <v>1</v>
      </c>
      <c r="D28" s="300" t="s">
        <v>216</v>
      </c>
      <c r="E28" s="301" t="s">
        <v>301</v>
      </c>
      <c r="F28" s="353">
        <v>10080</v>
      </c>
      <c r="G28" s="21"/>
    </row>
    <row r="29" spans="1:7" s="7" customFormat="1" ht="15" customHeight="1">
      <c r="A29" s="536"/>
      <c r="B29" s="300" t="s">
        <v>149</v>
      </c>
      <c r="C29" s="301">
        <v>3</v>
      </c>
      <c r="D29" s="300" t="s">
        <v>131</v>
      </c>
      <c r="E29" s="301" t="s">
        <v>296</v>
      </c>
      <c r="F29" s="353">
        <f>14045.4+14045.4+14284.08</f>
        <v>42374.88</v>
      </c>
      <c r="G29" s="21"/>
    </row>
    <row r="30" spans="1:7" s="7" customFormat="1" ht="15" customHeight="1">
      <c r="A30" s="536"/>
      <c r="B30" s="300" t="s">
        <v>281</v>
      </c>
      <c r="C30" s="301">
        <v>1</v>
      </c>
      <c r="D30" s="300" t="s">
        <v>128</v>
      </c>
      <c r="E30" s="301" t="s">
        <v>296</v>
      </c>
      <c r="F30" s="353">
        <v>6540</v>
      </c>
      <c r="G30" s="16" t="s">
        <v>276</v>
      </c>
    </row>
    <row r="31" spans="1:7" s="7" customFormat="1" ht="15" customHeight="1">
      <c r="A31" s="536"/>
      <c r="B31" s="300"/>
      <c r="C31" s="301"/>
      <c r="D31" s="528" t="s">
        <v>299</v>
      </c>
      <c r="E31" s="301" t="s">
        <v>136</v>
      </c>
      <c r="F31" s="353">
        <v>15580</v>
      </c>
      <c r="G31" s="21" t="s">
        <v>270</v>
      </c>
    </row>
    <row r="32" spans="1:10" s="7" customFormat="1" ht="15" customHeight="1">
      <c r="A32" s="536"/>
      <c r="B32" s="300" t="s">
        <v>281</v>
      </c>
      <c r="C32" s="301">
        <v>1</v>
      </c>
      <c r="D32" s="300" t="s">
        <v>279</v>
      </c>
      <c r="E32" s="301" t="s">
        <v>172</v>
      </c>
      <c r="F32" s="353">
        <v>2098.98</v>
      </c>
      <c r="G32" s="21" t="s">
        <v>270</v>
      </c>
      <c r="J32" s="245"/>
    </row>
    <row r="33" spans="1:7" s="7" customFormat="1" ht="15" customHeight="1">
      <c r="A33" s="536"/>
      <c r="B33" s="300" t="s">
        <v>218</v>
      </c>
      <c r="C33" s="301">
        <v>2</v>
      </c>
      <c r="D33" s="300" t="s">
        <v>131</v>
      </c>
      <c r="E33" s="301" t="s">
        <v>110</v>
      </c>
      <c r="F33" s="353">
        <f>2263.8+2027.76</f>
        <v>4291.56</v>
      </c>
      <c r="G33" s="21"/>
    </row>
    <row r="34" spans="1:7" s="7" customFormat="1" ht="15" customHeight="1">
      <c r="A34" s="536"/>
      <c r="B34" s="300" t="s">
        <v>148</v>
      </c>
      <c r="C34" s="301">
        <v>2</v>
      </c>
      <c r="D34" s="300" t="s">
        <v>130</v>
      </c>
      <c r="E34" s="301" t="s">
        <v>139</v>
      </c>
      <c r="F34" s="353">
        <v>7354</v>
      </c>
      <c r="G34" s="21"/>
    </row>
    <row r="35" spans="1:7" s="7" customFormat="1" ht="15" customHeight="1">
      <c r="A35" s="536"/>
      <c r="B35" s="300" t="s">
        <v>148</v>
      </c>
      <c r="C35" s="301">
        <v>2</v>
      </c>
      <c r="D35" s="300" t="s">
        <v>133</v>
      </c>
      <c r="E35" s="301" t="s">
        <v>139</v>
      </c>
      <c r="F35" s="353">
        <v>21420</v>
      </c>
      <c r="G35" s="16" t="s">
        <v>276</v>
      </c>
    </row>
    <row r="36" spans="1:7" s="224" customFormat="1" ht="15" customHeight="1">
      <c r="A36" s="536"/>
      <c r="B36" s="300" t="s">
        <v>281</v>
      </c>
      <c r="C36" s="300">
        <v>1</v>
      </c>
      <c r="D36" s="300" t="s">
        <v>124</v>
      </c>
      <c r="E36" s="301" t="s">
        <v>139</v>
      </c>
      <c r="F36" s="353">
        <v>34459.06</v>
      </c>
      <c r="G36" s="16" t="s">
        <v>276</v>
      </c>
    </row>
    <row r="37" spans="1:7" s="7" customFormat="1" ht="22.5" customHeight="1">
      <c r="A37" s="536"/>
      <c r="B37" s="300" t="s">
        <v>148</v>
      </c>
      <c r="C37" s="301">
        <v>2</v>
      </c>
      <c r="D37" s="300" t="s">
        <v>121</v>
      </c>
      <c r="E37" s="301" t="s">
        <v>109</v>
      </c>
      <c r="F37" s="353">
        <v>11880</v>
      </c>
      <c r="G37" s="21"/>
    </row>
    <row r="38" spans="1:7" s="10" customFormat="1" ht="15" customHeight="1">
      <c r="A38" s="536"/>
      <c r="B38" s="300" t="s">
        <v>281</v>
      </c>
      <c r="C38" s="300">
        <v>1</v>
      </c>
      <c r="D38" s="300" t="s">
        <v>125</v>
      </c>
      <c r="E38" s="300" t="s">
        <v>296</v>
      </c>
      <c r="F38" s="353">
        <v>35674.68</v>
      </c>
      <c r="G38" s="16" t="s">
        <v>276</v>
      </c>
    </row>
    <row r="39" spans="1:7" s="10" customFormat="1" ht="15" customHeight="1">
      <c r="A39" s="536"/>
      <c r="B39" s="300" t="s">
        <v>281</v>
      </c>
      <c r="C39" s="300">
        <v>1</v>
      </c>
      <c r="D39" s="300" t="s">
        <v>126</v>
      </c>
      <c r="E39" s="300" t="s">
        <v>116</v>
      </c>
      <c r="F39" s="353">
        <v>7153.5</v>
      </c>
      <c r="G39" s="16"/>
    </row>
    <row r="40" spans="1:7" s="10" customFormat="1" ht="15" customHeight="1">
      <c r="A40" s="536"/>
      <c r="B40" s="300" t="s">
        <v>281</v>
      </c>
      <c r="C40" s="300">
        <v>1</v>
      </c>
      <c r="D40" s="300" t="s">
        <v>125</v>
      </c>
      <c r="E40" s="300" t="s">
        <v>296</v>
      </c>
      <c r="F40" s="353">
        <v>41445.72</v>
      </c>
      <c r="G40" s="16" t="s">
        <v>276</v>
      </c>
    </row>
    <row r="41" spans="1:9" s="10" customFormat="1" ht="15" customHeight="1">
      <c r="A41" s="375" t="s">
        <v>278</v>
      </c>
      <c r="B41" s="300"/>
      <c r="C41" s="300"/>
      <c r="D41" s="300" t="s">
        <v>119</v>
      </c>
      <c r="E41" s="300"/>
      <c r="F41" s="353">
        <v>855.26</v>
      </c>
      <c r="G41" s="16" t="s">
        <v>276</v>
      </c>
      <c r="I41" s="243"/>
    </row>
    <row r="42" spans="1:9" s="10" customFormat="1" ht="15" customHeight="1">
      <c r="A42" s="86" t="s">
        <v>204</v>
      </c>
      <c r="B42" s="111"/>
      <c r="C42" s="111">
        <f>SUM(C21:C41)</f>
        <v>34</v>
      </c>
      <c r="D42" s="111"/>
      <c r="E42" s="111"/>
      <c r="F42" s="147">
        <f>SUM(F15:F41)</f>
        <v>402502.68000000005</v>
      </c>
      <c r="G42" s="19"/>
      <c r="I42" s="243"/>
    </row>
    <row r="43" spans="1:12" s="6" customFormat="1" ht="15" customHeight="1">
      <c r="A43" s="120" t="s">
        <v>27</v>
      </c>
      <c r="B43" s="42"/>
      <c r="C43" s="29"/>
      <c r="D43" s="42"/>
      <c r="E43" s="29"/>
      <c r="F43" s="167"/>
      <c r="G43" s="15"/>
      <c r="I43" s="7"/>
      <c r="J43" s="7"/>
      <c r="K43" s="7"/>
      <c r="L43" s="7"/>
    </row>
    <row r="44" spans="1:7" s="53" customFormat="1" ht="15" customHeight="1">
      <c r="A44" s="350" t="s">
        <v>291</v>
      </c>
      <c r="B44" s="317"/>
      <c r="C44" s="351"/>
      <c r="D44" s="352"/>
      <c r="E44" s="353"/>
      <c r="F44" s="353">
        <f>11585.15+124.43</f>
        <v>11709.58</v>
      </c>
      <c r="G44" s="146">
        <v>4965.51</v>
      </c>
    </row>
    <row r="45" spans="1:7" s="10" customFormat="1" ht="15" customHeight="1">
      <c r="A45" s="536"/>
      <c r="B45" s="300"/>
      <c r="C45" s="300"/>
      <c r="D45" s="300"/>
      <c r="E45" s="300" t="s">
        <v>296</v>
      </c>
      <c r="F45" s="353">
        <v>25935</v>
      </c>
      <c r="G45" s="16" t="s">
        <v>276</v>
      </c>
    </row>
    <row r="46" spans="1:7" s="10" customFormat="1" ht="15" customHeight="1">
      <c r="A46" s="536"/>
      <c r="B46" s="300" t="s">
        <v>281</v>
      </c>
      <c r="C46" s="300">
        <v>1</v>
      </c>
      <c r="D46" s="300" t="s">
        <v>132</v>
      </c>
      <c r="E46" s="300" t="s">
        <v>296</v>
      </c>
      <c r="F46" s="353">
        <v>27301.4</v>
      </c>
      <c r="G46" s="16" t="s">
        <v>276</v>
      </c>
    </row>
    <row r="47" spans="1:7" s="10" customFormat="1" ht="15" customHeight="1">
      <c r="A47" s="375" t="s">
        <v>278</v>
      </c>
      <c r="B47" s="300"/>
      <c r="C47" s="300"/>
      <c r="D47" s="300" t="s">
        <v>119</v>
      </c>
      <c r="E47" s="300"/>
      <c r="F47" s="353">
        <v>855.19</v>
      </c>
      <c r="G47" s="16" t="s">
        <v>276</v>
      </c>
    </row>
    <row r="48" spans="1:7" s="10" customFormat="1" ht="15" customHeight="1">
      <c r="A48" s="86" t="s">
        <v>188</v>
      </c>
      <c r="B48" s="111"/>
      <c r="C48" s="111">
        <f>SUM(C46:C47)</f>
        <v>1</v>
      </c>
      <c r="D48" s="111"/>
      <c r="E48" s="111"/>
      <c r="F48" s="147">
        <f>SUM(F44:F47)</f>
        <v>65801.17</v>
      </c>
      <c r="G48" s="19"/>
    </row>
    <row r="49" spans="1:12" s="6" customFormat="1" ht="15" customHeight="1">
      <c r="A49" s="120" t="s">
        <v>28</v>
      </c>
      <c r="B49" s="42"/>
      <c r="C49" s="29"/>
      <c r="D49" s="42"/>
      <c r="E49" s="29"/>
      <c r="F49" s="167"/>
      <c r="G49" s="15"/>
      <c r="I49" s="7"/>
      <c r="J49" s="7"/>
      <c r="K49" s="7"/>
      <c r="L49" s="7"/>
    </row>
    <row r="50" spans="1:7" s="53" customFormat="1" ht="15" customHeight="1">
      <c r="A50" s="350" t="s">
        <v>291</v>
      </c>
      <c r="B50" s="317"/>
      <c r="C50" s="351"/>
      <c r="D50" s="352"/>
      <c r="E50" s="353"/>
      <c r="F50" s="353">
        <f>8796.2-27.25</f>
        <v>8768.95</v>
      </c>
      <c r="G50" s="146">
        <v>4965.51</v>
      </c>
    </row>
    <row r="51" spans="1:12" s="215" customFormat="1" ht="16.5" customHeight="1">
      <c r="A51" s="536"/>
      <c r="B51" s="300" t="s">
        <v>43</v>
      </c>
      <c r="C51" s="301">
        <v>3</v>
      </c>
      <c r="D51" s="318" t="s">
        <v>120</v>
      </c>
      <c r="E51" s="301" t="s">
        <v>303</v>
      </c>
      <c r="F51" s="353">
        <v>1368.03</v>
      </c>
      <c r="G51" s="217" t="s">
        <v>276</v>
      </c>
      <c r="I51" s="7"/>
      <c r="J51" s="7"/>
      <c r="K51" s="7"/>
      <c r="L51" s="7"/>
    </row>
    <row r="52" spans="1:7" s="10" customFormat="1" ht="15" customHeight="1">
      <c r="A52" s="536"/>
      <c r="B52" s="300" t="s">
        <v>281</v>
      </c>
      <c r="C52" s="300">
        <v>1</v>
      </c>
      <c r="D52" s="300" t="s">
        <v>131</v>
      </c>
      <c r="E52" s="300" t="s">
        <v>139</v>
      </c>
      <c r="F52" s="353">
        <v>17635.7</v>
      </c>
      <c r="G52" s="16" t="s">
        <v>276</v>
      </c>
    </row>
    <row r="53" spans="1:12" s="216" customFormat="1" ht="17.25" customHeight="1">
      <c r="A53" s="536"/>
      <c r="B53" s="300" t="s">
        <v>281</v>
      </c>
      <c r="C53" s="300">
        <v>1</v>
      </c>
      <c r="D53" s="300" t="s">
        <v>279</v>
      </c>
      <c r="E53" s="300" t="s">
        <v>139</v>
      </c>
      <c r="F53" s="353">
        <v>39396.66</v>
      </c>
      <c r="G53" s="217" t="s">
        <v>276</v>
      </c>
      <c r="I53" s="10"/>
      <c r="J53" s="10"/>
      <c r="K53" s="10"/>
      <c r="L53" s="10"/>
    </row>
    <row r="54" spans="1:7" s="10" customFormat="1" ht="15" customHeight="1">
      <c r="A54" s="536"/>
      <c r="B54" s="300" t="s">
        <v>155</v>
      </c>
      <c r="C54" s="300">
        <v>2</v>
      </c>
      <c r="D54" s="300" t="s">
        <v>126</v>
      </c>
      <c r="E54" s="300" t="s">
        <v>303</v>
      </c>
      <c r="F54" s="353">
        <v>2340</v>
      </c>
      <c r="G54" s="21" t="s">
        <v>270</v>
      </c>
    </row>
    <row r="55" spans="1:7" s="10" customFormat="1" ht="15" customHeight="1">
      <c r="A55" s="536"/>
      <c r="B55" s="300" t="s">
        <v>281</v>
      </c>
      <c r="C55" s="300">
        <v>1</v>
      </c>
      <c r="D55" s="318" t="s">
        <v>299</v>
      </c>
      <c r="E55" s="300" t="s">
        <v>274</v>
      </c>
      <c r="F55" s="353">
        <v>7672.2</v>
      </c>
      <c r="G55" s="16" t="s">
        <v>276</v>
      </c>
    </row>
    <row r="56" spans="1:7" s="10" customFormat="1" ht="15" customHeight="1">
      <c r="A56" s="536"/>
      <c r="B56" s="300" t="s">
        <v>221</v>
      </c>
      <c r="C56" s="300">
        <v>2</v>
      </c>
      <c r="D56" s="300" t="s">
        <v>126</v>
      </c>
      <c r="E56" s="300" t="s">
        <v>173</v>
      </c>
      <c r="F56" s="353">
        <v>7882.2</v>
      </c>
      <c r="G56" s="21" t="s">
        <v>270</v>
      </c>
    </row>
    <row r="57" spans="1:9" s="10" customFormat="1" ht="15" customHeight="1">
      <c r="A57" s="536"/>
      <c r="B57" s="300" t="s">
        <v>149</v>
      </c>
      <c r="C57" s="300">
        <v>3</v>
      </c>
      <c r="D57" s="300" t="s">
        <v>121</v>
      </c>
      <c r="E57" s="300" t="s">
        <v>111</v>
      </c>
      <c r="F57" s="353">
        <v>9090</v>
      </c>
      <c r="G57" s="146">
        <v>5495.28</v>
      </c>
      <c r="H57" s="146">
        <f>F57+G57</f>
        <v>14585.279999999999</v>
      </c>
      <c r="I57" s="16"/>
    </row>
    <row r="58" spans="1:7" s="10" customFormat="1" ht="15" customHeight="1">
      <c r="A58" s="536"/>
      <c r="B58" s="300" t="s">
        <v>149</v>
      </c>
      <c r="C58" s="300">
        <v>3</v>
      </c>
      <c r="D58" s="300" t="s">
        <v>121</v>
      </c>
      <c r="E58" s="300" t="s">
        <v>275</v>
      </c>
      <c r="F58" s="353">
        <v>10425</v>
      </c>
      <c r="G58" s="21" t="s">
        <v>270</v>
      </c>
    </row>
    <row r="59" spans="1:9" s="10" customFormat="1" ht="15" customHeight="1">
      <c r="A59" s="536"/>
      <c r="B59" s="300" t="s">
        <v>103</v>
      </c>
      <c r="C59" s="300">
        <v>4</v>
      </c>
      <c r="D59" s="300" t="s">
        <v>130</v>
      </c>
      <c r="E59" s="300" t="s">
        <v>275</v>
      </c>
      <c r="F59" s="353">
        <f>6018.86-504</f>
        <v>5514.86</v>
      </c>
      <c r="G59" s="146"/>
      <c r="H59" s="146">
        <f>F59+G59</f>
        <v>5514.86</v>
      </c>
      <c r="I59" s="16"/>
    </row>
    <row r="60" spans="1:7" s="10" customFormat="1" ht="14.25" customHeight="1">
      <c r="A60" s="375" t="s">
        <v>278</v>
      </c>
      <c r="B60" s="300"/>
      <c r="C60" s="300"/>
      <c r="D60" s="300" t="s">
        <v>119</v>
      </c>
      <c r="E60" s="300"/>
      <c r="F60" s="353">
        <v>855.75</v>
      </c>
      <c r="G60" s="16" t="s">
        <v>276</v>
      </c>
    </row>
    <row r="61" spans="1:12" s="8" customFormat="1" ht="15" customHeight="1">
      <c r="A61" s="41" t="s">
        <v>67</v>
      </c>
      <c r="B61" s="113"/>
      <c r="C61" s="121">
        <f>SUM(C51:C59)</f>
        <v>20</v>
      </c>
      <c r="D61" s="113"/>
      <c r="E61" s="121"/>
      <c r="F61" s="147">
        <f>SUM(F50:F60)</f>
        <v>110949.34999999999</v>
      </c>
      <c r="G61" s="17"/>
      <c r="I61" s="240"/>
      <c r="J61" s="240"/>
      <c r="K61" s="240"/>
      <c r="L61" s="240"/>
    </row>
    <row r="62" spans="1:12" s="6" customFormat="1" ht="15" customHeight="1">
      <c r="A62" s="120" t="s">
        <v>25</v>
      </c>
      <c r="B62" s="42"/>
      <c r="C62" s="29"/>
      <c r="D62" s="42"/>
      <c r="E62" s="29"/>
      <c r="F62" s="167"/>
      <c r="G62" s="15"/>
      <c r="I62" s="7"/>
      <c r="J62" s="7"/>
      <c r="K62" s="7"/>
      <c r="L62" s="7"/>
    </row>
    <row r="63" spans="1:7" s="53" customFormat="1" ht="15" customHeight="1">
      <c r="A63" s="350" t="s">
        <v>291</v>
      </c>
      <c r="B63" s="317"/>
      <c r="C63" s="351"/>
      <c r="D63" s="352"/>
      <c r="E63" s="353"/>
      <c r="F63" s="353">
        <f>252.01+253.17</f>
        <v>505.17999999999995</v>
      </c>
      <c r="G63" s="146">
        <v>4965.51</v>
      </c>
    </row>
    <row r="64" spans="1:7" s="7" customFormat="1" ht="15" customHeight="1">
      <c r="A64" s="536"/>
      <c r="B64" s="300" t="s">
        <v>43</v>
      </c>
      <c r="C64" s="301">
        <v>3</v>
      </c>
      <c r="D64" s="300" t="s">
        <v>127</v>
      </c>
      <c r="E64" s="301" t="s">
        <v>64</v>
      </c>
      <c r="F64" s="353">
        <v>16432.01</v>
      </c>
      <c r="G64" s="21" t="s">
        <v>270</v>
      </c>
    </row>
    <row r="65" spans="1:7" ht="15" customHeight="1">
      <c r="A65" s="375" t="s">
        <v>278</v>
      </c>
      <c r="B65" s="300"/>
      <c r="C65" s="300"/>
      <c r="D65" s="300" t="s">
        <v>119</v>
      </c>
      <c r="E65" s="300"/>
      <c r="F65" s="353">
        <v>855.26</v>
      </c>
      <c r="G65" s="16" t="s">
        <v>276</v>
      </c>
    </row>
    <row r="66" spans="1:7" s="10" customFormat="1" ht="15" customHeight="1">
      <c r="A66" s="86" t="s">
        <v>174</v>
      </c>
      <c r="B66" s="111"/>
      <c r="C66" s="111">
        <f>SUM(C64:C65)</f>
        <v>3</v>
      </c>
      <c r="D66" s="111"/>
      <c r="E66" s="111"/>
      <c r="F66" s="147">
        <f>SUM(F63:F65)</f>
        <v>17792.449999999997</v>
      </c>
      <c r="G66" s="19"/>
    </row>
    <row r="67" spans="1:12" s="6" customFormat="1" ht="15" customHeight="1">
      <c r="A67" s="120" t="s">
        <v>29</v>
      </c>
      <c r="B67" s="138"/>
      <c r="C67" s="36"/>
      <c r="D67" s="138"/>
      <c r="E67" s="36"/>
      <c r="F67" s="206"/>
      <c r="G67" s="15"/>
      <c r="I67" s="7"/>
      <c r="J67" s="7"/>
      <c r="K67" s="7"/>
      <c r="L67" s="7"/>
    </row>
    <row r="68" spans="1:7" s="53" customFormat="1" ht="15" customHeight="1">
      <c r="A68" s="350" t="s">
        <v>291</v>
      </c>
      <c r="B68" s="317"/>
      <c r="C68" s="351"/>
      <c r="D68" s="352"/>
      <c r="E68" s="353"/>
      <c r="F68" s="353">
        <v>170.5</v>
      </c>
      <c r="G68" s="146">
        <v>4965.51</v>
      </c>
    </row>
    <row r="69" spans="1:7" ht="15" customHeight="1">
      <c r="A69" s="375" t="s">
        <v>278</v>
      </c>
      <c r="B69" s="300"/>
      <c r="C69" s="300"/>
      <c r="D69" s="300" t="s">
        <v>119</v>
      </c>
      <c r="E69" s="300"/>
      <c r="F69" s="353">
        <v>855.26</v>
      </c>
      <c r="G69" s="16" t="s">
        <v>276</v>
      </c>
    </row>
    <row r="70" spans="1:12" s="8" customFormat="1" ht="15" customHeight="1">
      <c r="A70" s="41" t="s">
        <v>213</v>
      </c>
      <c r="B70" s="113"/>
      <c r="C70" s="88">
        <v>2</v>
      </c>
      <c r="D70" s="113"/>
      <c r="E70" s="113"/>
      <c r="F70" s="147">
        <f>SUM(F68:F69)</f>
        <v>1025.76</v>
      </c>
      <c r="G70" s="17"/>
      <c r="I70" s="240"/>
      <c r="J70" s="240"/>
      <c r="K70" s="240"/>
      <c r="L70" s="240"/>
    </row>
    <row r="71" spans="1:12" s="6" customFormat="1" ht="15" customHeight="1">
      <c r="A71" s="120" t="s">
        <v>30</v>
      </c>
      <c r="B71" s="138"/>
      <c r="C71" s="36"/>
      <c r="D71" s="138"/>
      <c r="E71" s="36"/>
      <c r="F71" s="206"/>
      <c r="G71" s="15"/>
      <c r="I71" s="7"/>
      <c r="J71" s="7"/>
      <c r="K71" s="7"/>
      <c r="L71" s="7"/>
    </row>
    <row r="72" spans="1:7" s="53" customFormat="1" ht="15" customHeight="1">
      <c r="A72" s="350" t="s">
        <v>291</v>
      </c>
      <c r="B72" s="317"/>
      <c r="C72" s="351"/>
      <c r="D72" s="352"/>
      <c r="E72" s="353"/>
      <c r="F72" s="353">
        <f>22400.16+639.8</f>
        <v>23039.96</v>
      </c>
      <c r="G72" s="146">
        <v>4965.51</v>
      </c>
    </row>
    <row r="73" spans="1:7" s="10" customFormat="1" ht="15" customHeight="1">
      <c r="A73" s="536"/>
      <c r="B73" s="300" t="s">
        <v>103</v>
      </c>
      <c r="C73" s="392">
        <v>4</v>
      </c>
      <c r="D73" s="300" t="s">
        <v>130</v>
      </c>
      <c r="E73" s="300" t="s">
        <v>139</v>
      </c>
      <c r="F73" s="353">
        <v>4749.7</v>
      </c>
      <c r="G73" s="16" t="s">
        <v>276</v>
      </c>
    </row>
    <row r="74" spans="1:7" s="10" customFormat="1" ht="15" customHeight="1">
      <c r="A74" s="536"/>
      <c r="B74" s="300"/>
      <c r="C74" s="392"/>
      <c r="D74" s="300"/>
      <c r="E74" s="300" t="s">
        <v>139</v>
      </c>
      <c r="F74" s="353">
        <v>30182.82</v>
      </c>
      <c r="G74" s="16"/>
    </row>
    <row r="75" spans="1:7" s="10" customFormat="1" ht="15" customHeight="1">
      <c r="A75" s="536"/>
      <c r="B75" s="300"/>
      <c r="C75" s="392">
        <v>2</v>
      </c>
      <c r="D75" s="300" t="s">
        <v>123</v>
      </c>
      <c r="E75" s="300" t="s">
        <v>139</v>
      </c>
      <c r="F75" s="353">
        <v>3474</v>
      </c>
      <c r="G75" s="21" t="s">
        <v>270</v>
      </c>
    </row>
    <row r="76" spans="1:7" s="10" customFormat="1" ht="15" customHeight="1">
      <c r="A76" s="536"/>
      <c r="B76" s="300" t="s">
        <v>281</v>
      </c>
      <c r="C76" s="392">
        <v>1</v>
      </c>
      <c r="D76" s="300" t="s">
        <v>134</v>
      </c>
      <c r="E76" s="300" t="s">
        <v>296</v>
      </c>
      <c r="F76" s="353">
        <v>27540</v>
      </c>
      <c r="G76" s="21" t="s">
        <v>270</v>
      </c>
    </row>
    <row r="77" spans="1:7" s="10" customFormat="1" ht="15" customHeight="1">
      <c r="A77" s="536"/>
      <c r="B77" s="300"/>
      <c r="C77" s="392"/>
      <c r="D77" s="300" t="s">
        <v>123</v>
      </c>
      <c r="E77" s="300" t="s">
        <v>302</v>
      </c>
      <c r="F77" s="353">
        <v>11376</v>
      </c>
      <c r="G77" s="21"/>
    </row>
    <row r="78" spans="1:7" s="10" customFormat="1" ht="15" customHeight="1">
      <c r="A78" s="536"/>
      <c r="B78" s="300" t="s">
        <v>281</v>
      </c>
      <c r="C78" s="392">
        <v>1</v>
      </c>
      <c r="D78" s="300" t="s">
        <v>125</v>
      </c>
      <c r="E78" s="300" t="s">
        <v>178</v>
      </c>
      <c r="F78" s="353">
        <v>12343.34</v>
      </c>
      <c r="G78" s="16" t="s">
        <v>276</v>
      </c>
    </row>
    <row r="79" spans="1:7" s="10" customFormat="1" ht="15" customHeight="1">
      <c r="A79" s="536"/>
      <c r="B79" s="300" t="s">
        <v>281</v>
      </c>
      <c r="C79" s="392">
        <v>1</v>
      </c>
      <c r="D79" s="300" t="s">
        <v>94</v>
      </c>
      <c r="E79" s="300" t="s">
        <v>173</v>
      </c>
      <c r="F79" s="353">
        <v>13932.75</v>
      </c>
      <c r="G79" s="16" t="s">
        <v>276</v>
      </c>
    </row>
    <row r="80" spans="1:7" s="10" customFormat="1" ht="15" customHeight="1">
      <c r="A80" s="375" t="s">
        <v>278</v>
      </c>
      <c r="B80" s="300"/>
      <c r="C80" s="392">
        <v>1</v>
      </c>
      <c r="D80" s="300" t="s">
        <v>119</v>
      </c>
      <c r="E80" s="300"/>
      <c r="F80" s="353">
        <v>855.16</v>
      </c>
      <c r="G80" s="19"/>
    </row>
    <row r="81" spans="1:12" s="8" customFormat="1" ht="15" customHeight="1">
      <c r="A81" s="41" t="s">
        <v>175</v>
      </c>
      <c r="B81" s="113"/>
      <c r="C81" s="112">
        <f>SUM(C73:C80)</f>
        <v>10</v>
      </c>
      <c r="D81" s="113"/>
      <c r="E81" s="113"/>
      <c r="F81" s="147">
        <f>SUM(F72:F80)</f>
        <v>127493.73</v>
      </c>
      <c r="G81" s="16"/>
      <c r="I81" s="240"/>
      <c r="J81" s="240"/>
      <c r="K81" s="240"/>
      <c r="L81" s="240"/>
    </row>
    <row r="82" spans="1:12" s="6" customFormat="1" ht="15" customHeight="1">
      <c r="A82" s="120" t="s">
        <v>31</v>
      </c>
      <c r="B82" s="138"/>
      <c r="C82" s="36"/>
      <c r="D82" s="138"/>
      <c r="E82" s="36"/>
      <c r="F82" s="206"/>
      <c r="G82" s="15"/>
      <c r="I82" s="7"/>
      <c r="J82" s="7"/>
      <c r="K82" s="7"/>
      <c r="L82" s="7"/>
    </row>
    <row r="83" spans="1:7" s="53" customFormat="1" ht="15" customHeight="1">
      <c r="A83" s="350" t="s">
        <v>291</v>
      </c>
      <c r="B83" s="317"/>
      <c r="C83" s="351"/>
      <c r="D83" s="352"/>
      <c r="E83" s="353"/>
      <c r="F83" s="353">
        <f>7466.28+103.33</f>
        <v>7569.61</v>
      </c>
      <c r="G83" s="146">
        <v>4965.51</v>
      </c>
    </row>
    <row r="84" spans="1:7" s="224" customFormat="1" ht="15" customHeight="1">
      <c r="A84" s="536"/>
      <c r="B84" s="300" t="s">
        <v>281</v>
      </c>
      <c r="C84" s="300">
        <v>1</v>
      </c>
      <c r="D84" s="300"/>
      <c r="E84" s="300" t="s">
        <v>225</v>
      </c>
      <c r="F84" s="353">
        <v>17923.46</v>
      </c>
      <c r="G84" s="16" t="s">
        <v>276</v>
      </c>
    </row>
    <row r="85" spans="1:7" s="224" customFormat="1" ht="15" customHeight="1">
      <c r="A85" s="536"/>
      <c r="B85" s="300"/>
      <c r="C85" s="300"/>
      <c r="D85" s="300"/>
      <c r="E85" s="300" t="s">
        <v>226</v>
      </c>
      <c r="F85" s="353">
        <v>1620</v>
      </c>
      <c r="G85" s="16"/>
    </row>
    <row r="86" spans="1:7" s="224" customFormat="1" ht="15" customHeight="1">
      <c r="A86" s="536"/>
      <c r="B86" s="300" t="s">
        <v>154</v>
      </c>
      <c r="C86" s="300">
        <v>1</v>
      </c>
      <c r="D86" s="300" t="s">
        <v>122</v>
      </c>
      <c r="E86" s="300" t="s">
        <v>139</v>
      </c>
      <c r="F86" s="353">
        <v>13797.14</v>
      </c>
      <c r="G86" s="16" t="s">
        <v>276</v>
      </c>
    </row>
    <row r="87" spans="1:7" s="224" customFormat="1" ht="15" customHeight="1">
      <c r="A87" s="375" t="s">
        <v>278</v>
      </c>
      <c r="B87" s="300"/>
      <c r="C87" s="300"/>
      <c r="D87" s="300" t="s">
        <v>119</v>
      </c>
      <c r="E87" s="300"/>
      <c r="F87" s="353">
        <v>855.19</v>
      </c>
      <c r="G87" s="16" t="s">
        <v>276</v>
      </c>
    </row>
    <row r="88" spans="1:12" s="188" customFormat="1" ht="15" customHeight="1">
      <c r="A88" s="86" t="s">
        <v>223</v>
      </c>
      <c r="B88" s="111"/>
      <c r="C88" s="111">
        <v>1</v>
      </c>
      <c r="D88" s="111"/>
      <c r="E88" s="111"/>
      <c r="F88" s="147">
        <f>SUM(F83:F87)</f>
        <v>41765.4</v>
      </c>
      <c r="G88" s="25"/>
      <c r="I88" s="193"/>
      <c r="J88" s="193"/>
      <c r="K88" s="193"/>
      <c r="L88" s="193"/>
    </row>
    <row r="89" spans="1:12" s="6" customFormat="1" ht="15" customHeight="1">
      <c r="A89" s="120" t="s">
        <v>32</v>
      </c>
      <c r="B89" s="138"/>
      <c r="C89" s="36"/>
      <c r="D89" s="138"/>
      <c r="E89" s="36"/>
      <c r="F89" s="206"/>
      <c r="G89" s="15"/>
      <c r="I89" s="7"/>
      <c r="J89" s="7"/>
      <c r="K89" s="7"/>
      <c r="L89" s="7"/>
    </row>
    <row r="90" spans="1:7" s="7" customFormat="1" ht="39.75" customHeight="1">
      <c r="A90" s="536"/>
      <c r="B90" s="300" t="s">
        <v>282</v>
      </c>
      <c r="C90" s="529">
        <v>4</v>
      </c>
      <c r="D90" s="300"/>
      <c r="E90" s="301" t="s">
        <v>173</v>
      </c>
      <c r="F90" s="353">
        <v>3550</v>
      </c>
      <c r="G90" s="21" t="s">
        <v>270</v>
      </c>
    </row>
    <row r="91" spans="1:7" s="7" customFormat="1" ht="24" customHeight="1">
      <c r="A91" s="536"/>
      <c r="B91" s="300" t="s">
        <v>282</v>
      </c>
      <c r="C91" s="529">
        <v>4</v>
      </c>
      <c r="D91" s="300"/>
      <c r="E91" s="301" t="s">
        <v>296</v>
      </c>
      <c r="F91" s="353">
        <v>29035</v>
      </c>
      <c r="G91" s="21" t="s">
        <v>270</v>
      </c>
    </row>
    <row r="92" spans="1:7" s="7" customFormat="1" ht="15" customHeight="1">
      <c r="A92" s="536"/>
      <c r="B92" s="300" t="s">
        <v>43</v>
      </c>
      <c r="C92" s="529">
        <v>3</v>
      </c>
      <c r="D92" s="300"/>
      <c r="E92" s="301" t="s">
        <v>303</v>
      </c>
      <c r="F92" s="353">
        <v>4356.68</v>
      </c>
      <c r="G92" s="21" t="s">
        <v>270</v>
      </c>
    </row>
    <row r="93" spans="1:7" s="7" customFormat="1" ht="15" customHeight="1">
      <c r="A93" s="536"/>
      <c r="B93" s="300" t="s">
        <v>102</v>
      </c>
      <c r="C93" s="529">
        <v>2</v>
      </c>
      <c r="D93" s="300"/>
      <c r="E93" s="301" t="s">
        <v>280</v>
      </c>
      <c r="F93" s="353">
        <v>465</v>
      </c>
      <c r="G93" s="16" t="s">
        <v>276</v>
      </c>
    </row>
    <row r="94" spans="1:7" s="7" customFormat="1" ht="15" customHeight="1">
      <c r="A94" s="536"/>
      <c r="B94" s="300" t="s">
        <v>176</v>
      </c>
      <c r="C94" s="529">
        <v>3</v>
      </c>
      <c r="D94" s="300" t="s">
        <v>129</v>
      </c>
      <c r="E94" s="301" t="s">
        <v>296</v>
      </c>
      <c r="F94" s="353">
        <v>72193.35</v>
      </c>
      <c r="G94" s="16" t="s">
        <v>276</v>
      </c>
    </row>
    <row r="95" spans="1:7" s="7" customFormat="1" ht="20.25" customHeight="1">
      <c r="A95" s="536"/>
      <c r="B95" s="300" t="s">
        <v>102</v>
      </c>
      <c r="C95" s="529">
        <v>2</v>
      </c>
      <c r="D95" s="300"/>
      <c r="E95" s="300" t="s">
        <v>303</v>
      </c>
      <c r="F95" s="353">
        <v>3405</v>
      </c>
      <c r="G95" s="21" t="s">
        <v>270</v>
      </c>
    </row>
    <row r="96" spans="1:7" s="224" customFormat="1" ht="37.5" customHeight="1">
      <c r="A96" s="536"/>
      <c r="B96" s="300" t="s">
        <v>104</v>
      </c>
      <c r="C96" s="392">
        <v>3</v>
      </c>
      <c r="D96" s="300" t="s">
        <v>122</v>
      </c>
      <c r="E96" s="300" t="s">
        <v>296</v>
      </c>
      <c r="F96" s="353">
        <f>28918.61+19112.83+8420.15</f>
        <v>56451.590000000004</v>
      </c>
      <c r="G96" s="21" t="s">
        <v>270</v>
      </c>
    </row>
    <row r="97" spans="1:7" s="224" customFormat="1" ht="27.75" customHeight="1">
      <c r="A97" s="536"/>
      <c r="B97" s="300" t="s">
        <v>62</v>
      </c>
      <c r="C97" s="392">
        <v>1</v>
      </c>
      <c r="D97" s="300"/>
      <c r="E97" s="300" t="s">
        <v>304</v>
      </c>
      <c r="F97" s="353">
        <v>759.79</v>
      </c>
      <c r="G97" s="21"/>
    </row>
    <row r="98" spans="1:7" s="224" customFormat="1" ht="24" customHeight="1">
      <c r="A98" s="536"/>
      <c r="B98" s="300" t="s">
        <v>282</v>
      </c>
      <c r="C98" s="392">
        <v>4</v>
      </c>
      <c r="D98" s="300"/>
      <c r="E98" s="300" t="s">
        <v>177</v>
      </c>
      <c r="F98" s="353">
        <v>20403</v>
      </c>
      <c r="G98" s="21" t="s">
        <v>270</v>
      </c>
    </row>
    <row r="99" spans="1:7" s="224" customFormat="1" ht="24" customHeight="1">
      <c r="A99" s="536"/>
      <c r="B99" s="300" t="s">
        <v>63</v>
      </c>
      <c r="C99" s="392">
        <v>1</v>
      </c>
      <c r="D99" s="300"/>
      <c r="E99" s="300" t="s">
        <v>135</v>
      </c>
      <c r="F99" s="353">
        <v>12495</v>
      </c>
      <c r="G99" s="21"/>
    </row>
    <row r="100" spans="1:7" s="224" customFormat="1" ht="24" customHeight="1">
      <c r="A100" s="536"/>
      <c r="B100" s="300"/>
      <c r="C100" s="392">
        <v>1</v>
      </c>
      <c r="D100" s="300"/>
      <c r="E100" s="300" t="s">
        <v>135</v>
      </c>
      <c r="F100" s="353">
        <v>12495</v>
      </c>
      <c r="G100" s="21"/>
    </row>
    <row r="101" spans="1:7" s="224" customFormat="1" ht="15" customHeight="1">
      <c r="A101" s="536"/>
      <c r="B101" s="300" t="s">
        <v>101</v>
      </c>
      <c r="C101" s="392">
        <v>2</v>
      </c>
      <c r="D101" s="300"/>
      <c r="E101" s="300" t="s">
        <v>64</v>
      </c>
      <c r="F101" s="353">
        <v>11527.68</v>
      </c>
      <c r="G101" s="16" t="s">
        <v>276</v>
      </c>
    </row>
    <row r="102" spans="1:7" s="224" customFormat="1" ht="15" customHeight="1">
      <c r="A102" s="536"/>
      <c r="B102" s="300" t="s">
        <v>282</v>
      </c>
      <c r="C102" s="392">
        <v>4</v>
      </c>
      <c r="D102" s="300"/>
      <c r="E102" s="300" t="s">
        <v>303</v>
      </c>
      <c r="F102" s="353">
        <v>550</v>
      </c>
      <c r="G102" s="21" t="s">
        <v>270</v>
      </c>
    </row>
    <row r="103" spans="1:7" s="224" customFormat="1" ht="15" customHeight="1">
      <c r="A103" s="536"/>
      <c r="B103" s="300" t="s">
        <v>102</v>
      </c>
      <c r="C103" s="392">
        <v>2</v>
      </c>
      <c r="D103" s="300"/>
      <c r="E103" s="300" t="s">
        <v>178</v>
      </c>
      <c r="F103" s="353">
        <v>4500</v>
      </c>
      <c r="G103" s="21" t="s">
        <v>270</v>
      </c>
    </row>
    <row r="104" spans="1:7" s="224" customFormat="1" ht="15" customHeight="1">
      <c r="A104" s="536"/>
      <c r="B104" s="300" t="s">
        <v>102</v>
      </c>
      <c r="C104" s="392">
        <v>2</v>
      </c>
      <c r="D104" s="300"/>
      <c r="E104" s="300"/>
      <c r="F104" s="353">
        <v>38833.14</v>
      </c>
      <c r="G104" s="21"/>
    </row>
    <row r="105" spans="1:9" s="224" customFormat="1" ht="15" customHeight="1">
      <c r="A105" s="536"/>
      <c r="B105" s="300" t="s">
        <v>281</v>
      </c>
      <c r="C105" s="392">
        <v>1</v>
      </c>
      <c r="D105" s="300" t="s">
        <v>7</v>
      </c>
      <c r="E105" s="300" t="s">
        <v>296</v>
      </c>
      <c r="F105" s="353">
        <v>44143.84</v>
      </c>
      <c r="G105" s="21" t="s">
        <v>270</v>
      </c>
      <c r="I105" s="233"/>
    </row>
    <row r="106" spans="1:7" s="224" customFormat="1" ht="15" customHeight="1">
      <c r="A106" s="530" t="s">
        <v>278</v>
      </c>
      <c r="B106" s="300"/>
      <c r="C106" s="392"/>
      <c r="D106" s="300" t="s">
        <v>119</v>
      </c>
      <c r="E106" s="300"/>
      <c r="F106" s="353">
        <v>855.26</v>
      </c>
      <c r="G106" s="16" t="s">
        <v>276</v>
      </c>
    </row>
    <row r="107" spans="1:7" s="224" customFormat="1" ht="15" customHeight="1">
      <c r="A107" s="530" t="s">
        <v>371</v>
      </c>
      <c r="B107" s="300"/>
      <c r="C107" s="392"/>
      <c r="D107" s="300"/>
      <c r="E107" s="300"/>
      <c r="F107" s="353">
        <v>825.8</v>
      </c>
      <c r="G107" s="16"/>
    </row>
    <row r="108" spans="1:12" s="8" customFormat="1" ht="15" customHeight="1">
      <c r="A108" s="41" t="s">
        <v>83</v>
      </c>
      <c r="B108" s="113"/>
      <c r="C108" s="112">
        <f>SUM(C90:C106)</f>
        <v>39</v>
      </c>
      <c r="D108" s="113"/>
      <c r="E108" s="113"/>
      <c r="F108" s="147">
        <f>SUM(F90:F107)</f>
        <v>316845.12999999995</v>
      </c>
      <c r="G108" s="17"/>
      <c r="I108" s="240"/>
      <c r="J108" s="240"/>
      <c r="K108" s="240"/>
      <c r="L108" s="240"/>
    </row>
    <row r="109" spans="1:12" s="11" customFormat="1" ht="15" customHeight="1">
      <c r="A109" s="80" t="s">
        <v>181</v>
      </c>
      <c r="B109" s="111"/>
      <c r="C109" s="103">
        <f>SUM(C13,C42,C48,C61,C66,C70,C81,C88,C108)</f>
        <v>113</v>
      </c>
      <c r="D109" s="111"/>
      <c r="E109" s="111"/>
      <c r="F109" s="148">
        <f>F108+F88+F81+F70+F66+F61+F48+F42+F13</f>
        <v>1156017.67</v>
      </c>
      <c r="G109" s="20"/>
      <c r="I109" s="244"/>
      <c r="J109" s="244"/>
      <c r="K109" s="244"/>
      <c r="L109" s="244"/>
    </row>
    <row r="110" ht="12.75">
      <c r="C110" s="140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9"/>
  <sheetViews>
    <sheetView workbookViewId="0" topLeftCell="A1">
      <selection activeCell="B14" sqref="B14"/>
    </sheetView>
  </sheetViews>
  <sheetFormatPr defaultColWidth="9.140625" defaultRowHeight="12.75"/>
  <cols>
    <col min="1" max="1" width="29.57421875" style="30" customWidth="1"/>
    <col min="2" max="2" width="35.28125" style="30" customWidth="1"/>
    <col min="3" max="3" width="11.28125" style="30" customWidth="1"/>
    <col min="4" max="6" width="9.140625" style="30" customWidth="1"/>
    <col min="7" max="7" width="10.57421875" style="30" customWidth="1"/>
    <col min="8" max="8" width="11.140625" style="30" customWidth="1"/>
    <col min="9" max="9" width="40.140625" style="30" customWidth="1"/>
    <col min="10" max="16384" width="9.140625" style="30" customWidth="1"/>
  </cols>
  <sheetData>
    <row r="1" spans="1:10" ht="30" customHeight="1">
      <c r="A1" s="548" t="s">
        <v>340</v>
      </c>
      <c r="B1" s="549"/>
      <c r="C1" s="549"/>
      <c r="D1" s="549"/>
      <c r="E1" s="549"/>
      <c r="F1" s="549"/>
      <c r="G1" s="549"/>
      <c r="H1" s="549"/>
      <c r="I1" s="550"/>
      <c r="J1" s="287">
        <v>40071123</v>
      </c>
    </row>
    <row r="2" spans="1:9" ht="55.5" customHeight="1">
      <c r="A2" s="551" t="s">
        <v>341</v>
      </c>
      <c r="B2" s="552"/>
      <c r="C2" s="553"/>
      <c r="D2" s="553"/>
      <c r="E2" s="553"/>
      <c r="F2" s="553"/>
      <c r="G2" s="553"/>
      <c r="H2" s="553"/>
      <c r="I2" s="553"/>
    </row>
    <row r="3" spans="1:9" ht="30">
      <c r="A3" s="42" t="s">
        <v>165</v>
      </c>
      <c r="B3" s="42" t="s">
        <v>342</v>
      </c>
      <c r="C3" s="29" t="s">
        <v>343</v>
      </c>
      <c r="D3" s="29" t="s">
        <v>33</v>
      </c>
      <c r="E3" s="29" t="s">
        <v>34</v>
      </c>
      <c r="F3" s="29" t="s">
        <v>161</v>
      </c>
      <c r="G3" s="29" t="s">
        <v>162</v>
      </c>
      <c r="H3" s="29" t="s">
        <v>163</v>
      </c>
      <c r="I3" s="79" t="s">
        <v>335</v>
      </c>
    </row>
    <row r="4" spans="1:9" ht="15" customHeight="1">
      <c r="A4" s="284" t="s">
        <v>24</v>
      </c>
      <c r="B4" s="300">
        <v>5</v>
      </c>
      <c r="C4" s="301">
        <v>4</v>
      </c>
      <c r="D4" s="301">
        <v>1</v>
      </c>
      <c r="E4" s="301">
        <v>3</v>
      </c>
      <c r="F4" s="301">
        <v>4</v>
      </c>
      <c r="G4" s="301"/>
      <c r="H4" s="301"/>
      <c r="I4" s="302"/>
    </row>
    <row r="5" spans="1:9" ht="15" customHeight="1">
      <c r="A5" s="284" t="s">
        <v>25</v>
      </c>
      <c r="B5" s="300">
        <v>4</v>
      </c>
      <c r="C5" s="301">
        <v>6</v>
      </c>
      <c r="D5" s="301">
        <v>1</v>
      </c>
      <c r="E5" s="301">
        <v>5</v>
      </c>
      <c r="F5" s="301">
        <v>5</v>
      </c>
      <c r="G5" s="301">
        <v>1</v>
      </c>
      <c r="H5" s="301"/>
      <c r="I5" s="302"/>
    </row>
    <row r="6" spans="1:9" ht="15" customHeight="1">
      <c r="A6" s="284" t="s">
        <v>29</v>
      </c>
      <c r="B6" s="300">
        <v>4</v>
      </c>
      <c r="C6" s="301">
        <v>8</v>
      </c>
      <c r="D6" s="301">
        <v>1</v>
      </c>
      <c r="E6" s="301">
        <v>7</v>
      </c>
      <c r="F6" s="301">
        <v>5</v>
      </c>
      <c r="G6" s="301">
        <v>3</v>
      </c>
      <c r="H6" s="301"/>
      <c r="I6" s="303"/>
    </row>
    <row r="7" spans="1:9" ht="15" customHeight="1">
      <c r="A7" s="297" t="s">
        <v>30</v>
      </c>
      <c r="B7" s="300">
        <v>10</v>
      </c>
      <c r="C7" s="301">
        <v>38</v>
      </c>
      <c r="D7" s="301">
        <v>10</v>
      </c>
      <c r="E7" s="301">
        <v>28</v>
      </c>
      <c r="F7" s="301">
        <v>31</v>
      </c>
      <c r="G7" s="301">
        <v>7</v>
      </c>
      <c r="H7" s="301"/>
      <c r="I7" s="303"/>
    </row>
    <row r="8" spans="1:9" ht="15" customHeight="1">
      <c r="A8" s="297" t="s">
        <v>32</v>
      </c>
      <c r="B8" s="300">
        <v>4</v>
      </c>
      <c r="C8" s="301">
        <v>7</v>
      </c>
      <c r="D8" s="301"/>
      <c r="E8" s="301">
        <v>7</v>
      </c>
      <c r="F8" s="301">
        <v>3</v>
      </c>
      <c r="G8" s="301">
        <v>4</v>
      </c>
      <c r="H8" s="301"/>
      <c r="I8" s="303"/>
    </row>
    <row r="9" spans="1:9" ht="15" customHeight="1">
      <c r="A9" s="298" t="s">
        <v>181</v>
      </c>
      <c r="B9" s="299">
        <f aca="true" t="shared" si="0" ref="B9:G9">SUM(B4:B8)</f>
        <v>27</v>
      </c>
      <c r="C9" s="299">
        <f t="shared" si="0"/>
        <v>63</v>
      </c>
      <c r="D9" s="299">
        <f t="shared" si="0"/>
        <v>13</v>
      </c>
      <c r="E9" s="299">
        <f t="shared" si="0"/>
        <v>50</v>
      </c>
      <c r="F9" s="299">
        <f t="shared" si="0"/>
        <v>48</v>
      </c>
      <c r="G9" s="299">
        <f t="shared" si="0"/>
        <v>15</v>
      </c>
      <c r="H9" s="299"/>
      <c r="I9" s="143">
        <v>6000</v>
      </c>
    </row>
  </sheetData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13"/>
  <sheetViews>
    <sheetView workbookViewId="0" topLeftCell="A1">
      <selection activeCell="D1" sqref="D1"/>
    </sheetView>
  </sheetViews>
  <sheetFormatPr defaultColWidth="9.140625" defaultRowHeight="12.75"/>
  <cols>
    <col min="1" max="1" width="95.28125" style="310" customWidth="1"/>
    <col min="2" max="2" width="40.00390625" style="310" customWidth="1"/>
    <col min="3" max="16384" width="9.140625" style="310" customWidth="1"/>
  </cols>
  <sheetData>
    <row r="1" spans="1:11" s="304" customFormat="1" ht="30" customHeight="1">
      <c r="A1" s="554" t="s">
        <v>344</v>
      </c>
      <c r="B1" s="554"/>
      <c r="C1" s="287">
        <v>40070166</v>
      </c>
      <c r="K1" s="305"/>
    </row>
    <row r="2" spans="1:11" s="304" customFormat="1" ht="98.25" customHeight="1">
      <c r="A2" s="555" t="s">
        <v>345</v>
      </c>
      <c r="B2" s="555"/>
      <c r="K2" s="305"/>
    </row>
    <row r="3" spans="1:2" s="306" customFormat="1" ht="15">
      <c r="A3" s="312" t="s">
        <v>347</v>
      </c>
      <c r="B3" s="311" t="s">
        <v>346</v>
      </c>
    </row>
    <row r="4" spans="1:2" s="306" customFormat="1" ht="15">
      <c r="A4" s="307" t="s">
        <v>252</v>
      </c>
      <c r="B4" s="314">
        <v>4</v>
      </c>
    </row>
    <row r="5" spans="1:2" s="306" customFormat="1" ht="15">
      <c r="A5" s="307" t="s">
        <v>253</v>
      </c>
      <c r="B5" s="314">
        <v>27</v>
      </c>
    </row>
    <row r="6" spans="1:2" s="306" customFormat="1" ht="15">
      <c r="A6" s="308" t="s">
        <v>254</v>
      </c>
      <c r="B6" s="314">
        <v>24</v>
      </c>
    </row>
    <row r="7" spans="1:2" s="306" customFormat="1" ht="15">
      <c r="A7" s="309" t="s">
        <v>255</v>
      </c>
      <c r="B7" s="314">
        <v>13</v>
      </c>
    </row>
    <row r="8" spans="1:2" s="306" customFormat="1" ht="15">
      <c r="A8" s="309" t="s">
        <v>256</v>
      </c>
      <c r="B8" s="314">
        <v>7</v>
      </c>
    </row>
    <row r="9" spans="1:2" s="306" customFormat="1" ht="15">
      <c r="A9" s="309" t="s">
        <v>257</v>
      </c>
      <c r="B9" s="314">
        <v>4</v>
      </c>
    </row>
    <row r="10" spans="1:2" s="306" customFormat="1" ht="15">
      <c r="A10" s="309" t="s">
        <v>257</v>
      </c>
      <c r="B10" s="314">
        <v>4</v>
      </c>
    </row>
    <row r="11" spans="1:2" s="306" customFormat="1" ht="15">
      <c r="A11" s="309" t="s">
        <v>258</v>
      </c>
      <c r="B11" s="314">
        <v>2</v>
      </c>
    </row>
    <row r="12" spans="1:2" s="306" customFormat="1" ht="15">
      <c r="A12" s="309" t="s">
        <v>259</v>
      </c>
      <c r="B12" s="314">
        <v>3</v>
      </c>
    </row>
    <row r="13" spans="1:2" ht="15.75">
      <c r="A13" s="315" t="s">
        <v>181</v>
      </c>
      <c r="B13" s="313"/>
    </row>
  </sheetData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11"/>
  <sheetViews>
    <sheetView workbookViewId="0" topLeftCell="A1">
      <selection activeCell="A10" sqref="A10"/>
    </sheetView>
  </sheetViews>
  <sheetFormatPr defaultColWidth="8.8515625" defaultRowHeight="12.75"/>
  <cols>
    <col min="1" max="1" width="38.421875" style="0" customWidth="1"/>
    <col min="2" max="2" width="21.421875" style="0" customWidth="1"/>
    <col min="3" max="6" width="9.140625" style="43" customWidth="1"/>
    <col min="7" max="7" width="10.140625" style="43" customWidth="1"/>
    <col min="8" max="8" width="11.421875" style="43" customWidth="1"/>
    <col min="9" max="9" width="15.57421875" style="0" customWidth="1"/>
  </cols>
  <sheetData>
    <row r="1" spans="1:10" ht="30" customHeight="1">
      <c r="A1" s="548" t="s">
        <v>349</v>
      </c>
      <c r="B1" s="549"/>
      <c r="C1" s="549"/>
      <c r="D1" s="549"/>
      <c r="E1" s="549"/>
      <c r="F1" s="549"/>
      <c r="G1" s="549"/>
      <c r="H1" s="550"/>
      <c r="I1" s="254">
        <v>40071126</v>
      </c>
      <c r="J1" s="316"/>
    </row>
    <row r="2" spans="1:8" s="23" customFormat="1" ht="72" customHeight="1">
      <c r="A2" s="556" t="s">
        <v>156</v>
      </c>
      <c r="B2" s="557"/>
      <c r="C2" s="558"/>
      <c r="D2" s="558"/>
      <c r="E2" s="558"/>
      <c r="F2" s="558"/>
      <c r="G2" s="558"/>
      <c r="H2" s="558"/>
    </row>
    <row r="3" spans="1:8" ht="30">
      <c r="A3" s="320" t="s">
        <v>12</v>
      </c>
      <c r="B3" s="321" t="s">
        <v>13</v>
      </c>
      <c r="C3" s="322" t="s">
        <v>160</v>
      </c>
      <c r="D3" s="322" t="s">
        <v>33</v>
      </c>
      <c r="E3" s="322" t="s">
        <v>34</v>
      </c>
      <c r="F3" s="322" t="s">
        <v>161</v>
      </c>
      <c r="G3" s="323" t="s">
        <v>162</v>
      </c>
      <c r="H3" s="323" t="s">
        <v>163</v>
      </c>
    </row>
    <row r="4" spans="1:8" ht="15.75">
      <c r="A4" s="324" t="s">
        <v>26</v>
      </c>
      <c r="B4" s="325"/>
      <c r="C4" s="326"/>
      <c r="D4" s="326"/>
      <c r="E4" s="326"/>
      <c r="F4" s="326"/>
      <c r="G4" s="327"/>
      <c r="H4" s="327"/>
    </row>
    <row r="5" spans="1:8" ht="46.5" customHeight="1">
      <c r="A5" s="531"/>
      <c r="B5" s="328" t="s">
        <v>76</v>
      </c>
      <c r="C5" s="329">
        <v>3</v>
      </c>
      <c r="D5" s="329">
        <v>2</v>
      </c>
      <c r="E5" s="329">
        <v>1</v>
      </c>
      <c r="F5" s="329"/>
      <c r="G5" s="330">
        <v>3</v>
      </c>
      <c r="H5" s="330" t="s">
        <v>157</v>
      </c>
    </row>
    <row r="6" spans="1:8" ht="31.5" customHeight="1">
      <c r="A6" s="531"/>
      <c r="B6" s="328" t="s">
        <v>76</v>
      </c>
      <c r="C6" s="329">
        <v>2</v>
      </c>
      <c r="D6" s="329">
        <v>1</v>
      </c>
      <c r="E6" s="329">
        <v>1</v>
      </c>
      <c r="F6" s="329">
        <v>2</v>
      </c>
      <c r="G6" s="330"/>
      <c r="H6" s="331" t="s">
        <v>350</v>
      </c>
    </row>
    <row r="7" spans="1:8" ht="15.75">
      <c r="A7" s="332" t="s">
        <v>27</v>
      </c>
      <c r="B7" s="333"/>
      <c r="C7" s="334"/>
      <c r="D7" s="322"/>
      <c r="E7" s="322"/>
      <c r="F7" s="322"/>
      <c r="G7" s="323"/>
      <c r="H7" s="323"/>
    </row>
    <row r="8" spans="1:8" ht="63" customHeight="1">
      <c r="A8" s="531"/>
      <c r="B8" s="328" t="s">
        <v>76</v>
      </c>
      <c r="C8" s="335">
        <v>4</v>
      </c>
      <c r="D8" s="335">
        <v>3</v>
      </c>
      <c r="E8" s="335">
        <v>1</v>
      </c>
      <c r="F8" s="335"/>
      <c r="G8" s="336">
        <v>4</v>
      </c>
      <c r="H8" s="330" t="s">
        <v>158</v>
      </c>
    </row>
    <row r="9" spans="1:8" ht="15.75">
      <c r="A9" s="337" t="s">
        <v>28</v>
      </c>
      <c r="B9" s="333"/>
      <c r="C9" s="334"/>
      <c r="D9" s="322"/>
      <c r="E9" s="322"/>
      <c r="F9" s="322"/>
      <c r="G9" s="323"/>
      <c r="H9" s="323"/>
    </row>
    <row r="10" spans="1:8" ht="90.75" customHeight="1">
      <c r="A10" s="531"/>
      <c r="B10" s="338" t="s">
        <v>222</v>
      </c>
      <c r="C10" s="339">
        <v>6</v>
      </c>
      <c r="D10" s="339">
        <v>2</v>
      </c>
      <c r="E10" s="339">
        <v>4</v>
      </c>
      <c r="F10" s="339"/>
      <c r="G10" s="340">
        <v>6</v>
      </c>
      <c r="H10" s="341" t="s">
        <v>214</v>
      </c>
    </row>
    <row r="11" spans="1:8" s="207" customFormat="1" ht="15.75" customHeight="1">
      <c r="A11" s="342" t="s">
        <v>181</v>
      </c>
      <c r="B11" s="343"/>
      <c r="C11" s="344">
        <f>C10+C8+C6+C5</f>
        <v>15</v>
      </c>
      <c r="D11" s="344">
        <f>D5+D6+D8+D10</f>
        <v>8</v>
      </c>
      <c r="E11" s="344">
        <f>E5+E6+E8+E10</f>
        <v>7</v>
      </c>
      <c r="F11" s="345">
        <f>SUM(F6:F10)</f>
        <v>2</v>
      </c>
      <c r="G11" s="346">
        <f>G10+G8+G5</f>
        <v>13</v>
      </c>
      <c r="H11" s="346"/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44"/>
  <sheetViews>
    <sheetView workbookViewId="0" topLeftCell="A1">
      <selection activeCell="A33" sqref="A33"/>
    </sheetView>
  </sheetViews>
  <sheetFormatPr defaultColWidth="9.140625" defaultRowHeight="12.75"/>
  <cols>
    <col min="1" max="1" width="43.57421875" style="56" customWidth="1"/>
    <col min="2" max="2" width="31.28125" style="54" customWidth="1"/>
    <col min="3" max="3" width="15.7109375" style="57" customWidth="1"/>
    <col min="4" max="4" width="19.7109375" style="34" customWidth="1"/>
    <col min="5" max="5" width="18.140625" style="34" customWidth="1"/>
    <col min="6" max="6" width="18.8515625" style="34" customWidth="1"/>
    <col min="7" max="7" width="18.421875" style="54" customWidth="1"/>
    <col min="8" max="8" width="16.57421875" style="54" customWidth="1"/>
    <col min="9" max="16384" width="11.57421875" style="54" customWidth="1"/>
  </cols>
  <sheetData>
    <row r="1" spans="1:8" s="48" customFormat="1" ht="30" customHeight="1">
      <c r="A1" s="545" t="s">
        <v>351</v>
      </c>
      <c r="B1" s="545"/>
      <c r="C1" s="545"/>
      <c r="D1" s="545"/>
      <c r="E1" s="545"/>
      <c r="F1" s="545"/>
      <c r="G1" s="545"/>
      <c r="H1" s="347">
        <v>40070183</v>
      </c>
    </row>
    <row r="2" spans="1:7" s="49" customFormat="1" ht="39" customHeight="1">
      <c r="A2" s="552" t="s">
        <v>182</v>
      </c>
      <c r="B2" s="552"/>
      <c r="C2" s="559"/>
      <c r="D2" s="559"/>
      <c r="E2" s="559"/>
      <c r="F2" s="559"/>
      <c r="G2" s="348"/>
    </row>
    <row r="3" spans="1:7" s="50" customFormat="1" ht="15" customHeight="1">
      <c r="A3" s="42" t="s">
        <v>12</v>
      </c>
      <c r="B3" s="42" t="s">
        <v>184</v>
      </c>
      <c r="C3" s="122" t="s">
        <v>164</v>
      </c>
      <c r="D3" s="79" t="s">
        <v>17</v>
      </c>
      <c r="E3" s="79" t="s">
        <v>18</v>
      </c>
      <c r="F3" s="79" t="s">
        <v>19</v>
      </c>
      <c r="G3" s="42" t="s">
        <v>20</v>
      </c>
    </row>
    <row r="4" spans="1:7" s="51" customFormat="1" ht="15" customHeight="1">
      <c r="A4" s="37" t="s">
        <v>26</v>
      </c>
      <c r="B4" s="40"/>
      <c r="C4" s="59"/>
      <c r="D4" s="60"/>
      <c r="E4" s="60"/>
      <c r="F4" s="60"/>
      <c r="G4" s="62"/>
    </row>
    <row r="5" spans="1:8" s="73" customFormat="1" ht="15" customHeight="1">
      <c r="A5" s="271" t="s">
        <v>291</v>
      </c>
      <c r="B5" s="32"/>
      <c r="C5" s="231"/>
      <c r="D5" s="168"/>
      <c r="E5" s="146"/>
      <c r="F5" s="146"/>
      <c r="G5" s="146">
        <v>313.58</v>
      </c>
      <c r="H5" s="226"/>
    </row>
    <row r="6" spans="1:7" s="52" customFormat="1" ht="15" customHeight="1">
      <c r="A6" s="272" t="s">
        <v>189</v>
      </c>
      <c r="B6" s="32" t="s">
        <v>236</v>
      </c>
      <c r="C6" s="47">
        <v>20.384</v>
      </c>
      <c r="D6" s="149">
        <f>915*1.31</f>
        <v>1198.65</v>
      </c>
      <c r="E6" s="149">
        <f>4.48+4.48+4.92+3.74+3.74+2.25+3.74+4.87+4.85</f>
        <v>37.07</v>
      </c>
      <c r="F6" s="149">
        <f>13.64+6.69+6.94+7.02+7.3+6.9+6.68+13.92</f>
        <v>69.09</v>
      </c>
      <c r="G6" s="149">
        <f>D6+E6+F6</f>
        <v>1304.81</v>
      </c>
    </row>
    <row r="7" spans="1:8" s="154" customFormat="1" ht="15" customHeight="1">
      <c r="A7" s="86" t="s">
        <v>40</v>
      </c>
      <c r="B7" s="102"/>
      <c r="C7" s="172"/>
      <c r="D7" s="148"/>
      <c r="E7" s="148"/>
      <c r="F7" s="148"/>
      <c r="G7" s="148">
        <f>SUM(G5:G6)</f>
        <v>1618.3899999999999</v>
      </c>
      <c r="H7" s="250"/>
    </row>
    <row r="8" spans="1:7" s="51" customFormat="1" ht="15" customHeight="1">
      <c r="A8" s="37" t="s">
        <v>24</v>
      </c>
      <c r="B8" s="132"/>
      <c r="C8" s="59"/>
      <c r="D8" s="150"/>
      <c r="E8" s="150"/>
      <c r="F8" s="150"/>
      <c r="G8" s="151"/>
    </row>
    <row r="9" spans="1:8" s="73" customFormat="1" ht="15" customHeight="1">
      <c r="A9" s="271" t="s">
        <v>368</v>
      </c>
      <c r="B9" s="32"/>
      <c r="C9" s="231"/>
      <c r="D9" s="168"/>
      <c r="E9" s="146"/>
      <c r="F9" s="146"/>
      <c r="G9" s="146">
        <v>1622.48</v>
      </c>
      <c r="H9" s="226"/>
    </row>
    <row r="10" spans="1:7" s="52" customFormat="1" ht="15" customHeight="1">
      <c r="A10" s="272" t="s">
        <v>189</v>
      </c>
      <c r="B10" s="32" t="s">
        <v>236</v>
      </c>
      <c r="C10" s="47">
        <v>20.384</v>
      </c>
      <c r="D10" s="149">
        <f>915*7.29</f>
        <v>6670.35</v>
      </c>
      <c r="E10" s="149">
        <f>24.89+24.89+27.38+20.83+20.83+12.5+20.83+26.96+20.74</f>
        <v>199.85</v>
      </c>
      <c r="F10" s="149">
        <f>75.87+37.19+38.6+39.05+77.38+40.65+38.44+37.18+26.96</f>
        <v>411.31999999999994</v>
      </c>
      <c r="G10" s="149">
        <f>D10+E10+F10</f>
        <v>7281.52</v>
      </c>
    </row>
    <row r="11" spans="1:8" s="154" customFormat="1" ht="15" customHeight="1">
      <c r="A11" s="86" t="s">
        <v>204</v>
      </c>
      <c r="B11" s="102"/>
      <c r="C11" s="172"/>
      <c r="D11" s="148"/>
      <c r="E11" s="148"/>
      <c r="F11" s="148"/>
      <c r="G11" s="148">
        <f>SUM(G9:G10)</f>
        <v>8904</v>
      </c>
      <c r="H11" s="250"/>
    </row>
    <row r="12" spans="1:7" s="51" customFormat="1" ht="15" customHeight="1">
      <c r="A12" s="37" t="s">
        <v>27</v>
      </c>
      <c r="B12" s="132"/>
      <c r="C12" s="59"/>
      <c r="D12" s="150"/>
      <c r="E12" s="150"/>
      <c r="F12" s="150"/>
      <c r="G12" s="151"/>
    </row>
    <row r="13" spans="1:8" s="73" customFormat="1" ht="15" customHeight="1">
      <c r="A13" s="271" t="s">
        <v>368</v>
      </c>
      <c r="B13" s="32"/>
      <c r="C13" s="231"/>
      <c r="D13" s="168"/>
      <c r="E13" s="146"/>
      <c r="F13" s="146"/>
      <c r="G13" s="146">
        <v>220.2</v>
      </c>
      <c r="H13" s="226"/>
    </row>
    <row r="14" spans="1:7" ht="15" customHeight="1">
      <c r="A14" s="272" t="s">
        <v>189</v>
      </c>
      <c r="B14" s="32" t="s">
        <v>236</v>
      </c>
      <c r="C14" s="47">
        <v>20.384</v>
      </c>
      <c r="D14" s="149">
        <f>915*0.59</f>
        <v>539.85</v>
      </c>
      <c r="E14" s="149">
        <f>2.01+2.01+1.68+1.68+1.01+1.68+2.18</f>
        <v>12.249999999999998</v>
      </c>
      <c r="F14" s="149">
        <f>6.25+6.13+3.01+3.12+3.15+3.29+3.11+3</f>
        <v>31.059999999999995</v>
      </c>
      <c r="G14" s="149">
        <f>D14+E14+F14</f>
        <v>583.16</v>
      </c>
    </row>
    <row r="15" spans="1:8" s="154" customFormat="1" ht="15" customHeight="1">
      <c r="A15" s="86" t="s">
        <v>188</v>
      </c>
      <c r="B15" s="102"/>
      <c r="C15" s="172"/>
      <c r="D15" s="148"/>
      <c r="E15" s="148"/>
      <c r="F15" s="148"/>
      <c r="G15" s="148">
        <f>SUM(G13:G14)</f>
        <v>803.3599999999999</v>
      </c>
      <c r="H15" s="250"/>
    </row>
    <row r="16" spans="1:7" s="51" customFormat="1" ht="15" customHeight="1">
      <c r="A16" s="37" t="s">
        <v>28</v>
      </c>
      <c r="B16" s="132"/>
      <c r="C16" s="59"/>
      <c r="D16" s="150"/>
      <c r="E16" s="150"/>
      <c r="F16" s="150"/>
      <c r="G16" s="151"/>
    </row>
    <row r="17" spans="1:8" s="73" customFormat="1" ht="15" customHeight="1">
      <c r="A17" s="271" t="s">
        <v>368</v>
      </c>
      <c r="B17" s="32"/>
      <c r="C17" s="231"/>
      <c r="D17" s="168"/>
      <c r="E17" s="146"/>
      <c r="F17" s="146"/>
      <c r="G17" s="146">
        <v>440.12</v>
      </c>
      <c r="H17" s="226"/>
    </row>
    <row r="18" spans="1:7" ht="15" customHeight="1">
      <c r="A18" s="272" t="s">
        <v>189</v>
      </c>
      <c r="B18" s="32" t="s">
        <v>236</v>
      </c>
      <c r="C18" s="47">
        <v>20.384</v>
      </c>
      <c r="D18" s="149">
        <f>915*1.76</f>
        <v>1610.4</v>
      </c>
      <c r="E18" s="149">
        <f>6.01+6.01+6.61+5.03+5.03+3.02+5.03+6.51</f>
        <v>43.25</v>
      </c>
      <c r="F18" s="149">
        <f>18.33+8.99+9.33+9.43+9.81+9.29+8.98+6.51+18.7+5.01</f>
        <v>104.38000000000002</v>
      </c>
      <c r="G18" s="149">
        <f>D18+E18+F18</f>
        <v>1758.0300000000002</v>
      </c>
    </row>
    <row r="19" spans="1:8" s="156" customFormat="1" ht="15" customHeight="1">
      <c r="A19" s="86" t="s">
        <v>67</v>
      </c>
      <c r="B19" s="111"/>
      <c r="C19" s="124"/>
      <c r="D19" s="148"/>
      <c r="E19" s="148"/>
      <c r="F19" s="148"/>
      <c r="G19" s="148">
        <f>SUM(G17:G18)</f>
        <v>2198.15</v>
      </c>
      <c r="H19" s="227"/>
    </row>
    <row r="20" spans="1:7" s="51" customFormat="1" ht="15" customHeight="1">
      <c r="A20" s="37" t="s">
        <v>25</v>
      </c>
      <c r="B20" s="132"/>
      <c r="C20" s="59"/>
      <c r="D20" s="150"/>
      <c r="E20" s="150"/>
      <c r="F20" s="150"/>
      <c r="G20" s="152"/>
    </row>
    <row r="21" spans="1:8" s="73" customFormat="1" ht="15" customHeight="1">
      <c r="A21" s="271" t="s">
        <v>368</v>
      </c>
      <c r="B21" s="32"/>
      <c r="C21" s="231"/>
      <c r="D21" s="168"/>
      <c r="E21" s="146"/>
      <c r="F21" s="146"/>
      <c r="G21" s="146">
        <v>504.67</v>
      </c>
      <c r="H21" s="226"/>
    </row>
    <row r="22" spans="1:7" ht="15" customHeight="1">
      <c r="A22" s="272" t="s">
        <v>189</v>
      </c>
      <c r="B22" s="32" t="s">
        <v>236</v>
      </c>
      <c r="C22" s="47">
        <v>20.384</v>
      </c>
      <c r="D22" s="149">
        <f>915*1.2</f>
        <v>1098</v>
      </c>
      <c r="E22" s="149">
        <f>4.09+4.09+3.41+4.5+3.42+3.42+2.05+3.42+4.43+4.43</f>
        <v>37.26</v>
      </c>
      <c r="F22" s="149">
        <f>12.72+12.48+6.12+6.35+6.42+6.68+6.32+6.12</f>
        <v>63.21</v>
      </c>
      <c r="G22" s="149">
        <f>D22+E22+F22</f>
        <v>1198.47</v>
      </c>
    </row>
    <row r="23" spans="1:8" s="156" customFormat="1" ht="15" customHeight="1">
      <c r="A23" s="86" t="s">
        <v>174</v>
      </c>
      <c r="B23" s="111"/>
      <c r="C23" s="124"/>
      <c r="D23" s="148"/>
      <c r="E23" s="148"/>
      <c r="F23" s="148"/>
      <c r="G23" s="148">
        <f>SUM(G21:G22)</f>
        <v>1703.14</v>
      </c>
      <c r="H23" s="227"/>
    </row>
    <row r="24" spans="1:7" s="51" customFormat="1" ht="15" customHeight="1">
      <c r="A24" s="37" t="s">
        <v>29</v>
      </c>
      <c r="B24" s="132"/>
      <c r="C24" s="59"/>
      <c r="D24" s="150"/>
      <c r="E24" s="150"/>
      <c r="F24" s="150"/>
      <c r="G24" s="152"/>
    </row>
    <row r="25" spans="1:8" s="73" customFormat="1" ht="15" customHeight="1">
      <c r="A25" s="271" t="s">
        <v>368</v>
      </c>
      <c r="B25" s="32"/>
      <c r="C25" s="231"/>
      <c r="D25" s="168"/>
      <c r="E25" s="146"/>
      <c r="F25" s="146"/>
      <c r="G25" s="146">
        <v>241.9</v>
      </c>
      <c r="H25" s="226"/>
    </row>
    <row r="26" spans="1:7" s="52" customFormat="1" ht="15" customHeight="1">
      <c r="A26" s="272" t="s">
        <v>189</v>
      </c>
      <c r="B26" s="32" t="s">
        <v>236</v>
      </c>
      <c r="C26" s="47">
        <v>20.384</v>
      </c>
      <c r="D26" s="149">
        <f>915*0.81</f>
        <v>741.1500000000001</v>
      </c>
      <c r="E26" s="149">
        <f>2.76+2.76+3.03+2.3+2.3+1.38+2.3+2.99</f>
        <v>19.82</v>
      </c>
      <c r="F26" s="149">
        <f>8.4+4.12+8.57+4.27+2.3+4.32+4.5+4.26+4.12+2.99</f>
        <v>47.85</v>
      </c>
      <c r="G26" s="149">
        <f>D26+E26+F26</f>
        <v>808.8200000000002</v>
      </c>
    </row>
    <row r="27" spans="1:8" s="156" customFormat="1" ht="15" customHeight="1">
      <c r="A27" s="86" t="s">
        <v>213</v>
      </c>
      <c r="B27" s="111"/>
      <c r="C27" s="124"/>
      <c r="D27" s="148"/>
      <c r="E27" s="148"/>
      <c r="F27" s="148"/>
      <c r="G27" s="148">
        <f>SUM(G25:G26)</f>
        <v>1050.7200000000003</v>
      </c>
      <c r="H27" s="227"/>
    </row>
    <row r="28" spans="1:7" s="51" customFormat="1" ht="15" customHeight="1">
      <c r="A28" s="37" t="s">
        <v>30</v>
      </c>
      <c r="B28" s="132"/>
      <c r="C28" s="59"/>
      <c r="D28" s="150"/>
      <c r="E28" s="150"/>
      <c r="F28" s="150"/>
      <c r="G28" s="152"/>
    </row>
    <row r="29" spans="1:8" s="73" customFormat="1" ht="15" customHeight="1">
      <c r="A29" s="271" t="s">
        <v>368</v>
      </c>
      <c r="B29" s="32"/>
      <c r="C29" s="231"/>
      <c r="D29" s="168"/>
      <c r="E29" s="146"/>
      <c r="F29" s="146"/>
      <c r="G29" s="146">
        <v>670.71</v>
      </c>
      <c r="H29" s="226"/>
    </row>
    <row r="30" spans="1:7" s="53" customFormat="1" ht="15" customHeight="1">
      <c r="A30" s="272" t="s">
        <v>189</v>
      </c>
      <c r="B30" s="32" t="s">
        <v>236</v>
      </c>
      <c r="C30" s="55">
        <v>20.384</v>
      </c>
      <c r="D30" s="146">
        <f>915*3.03</f>
        <v>2772.45</v>
      </c>
      <c r="E30" s="252">
        <f>10.34+10.34+8.65+8.65+5.19+8.65+11.2</f>
        <v>63.019999999999996</v>
      </c>
      <c r="F30" s="146">
        <f>32.15+31.53+15.45+16.04+16.22+16.89+15.96+15.45+11.2</f>
        <v>170.88999999999996</v>
      </c>
      <c r="G30" s="146">
        <f>D30+E30+F30</f>
        <v>3006.3599999999997</v>
      </c>
    </row>
    <row r="31" spans="1:7" s="156" customFormat="1" ht="15" customHeight="1">
      <c r="A31" s="86" t="s">
        <v>175</v>
      </c>
      <c r="B31" s="111"/>
      <c r="C31" s="124"/>
      <c r="D31" s="148"/>
      <c r="E31" s="148"/>
      <c r="F31" s="148"/>
      <c r="G31" s="148">
        <f>SUM(G29:G30)</f>
        <v>3677.0699999999997</v>
      </c>
    </row>
    <row r="32" spans="1:7" s="51" customFormat="1" ht="15" customHeight="1">
      <c r="A32" s="37" t="s">
        <v>31</v>
      </c>
      <c r="B32" s="132"/>
      <c r="C32" s="59"/>
      <c r="D32" s="150"/>
      <c r="E32" s="150"/>
      <c r="F32" s="150"/>
      <c r="G32" s="152"/>
    </row>
    <row r="33" spans="1:8" s="73" customFormat="1" ht="15" customHeight="1">
      <c r="A33" s="271" t="s">
        <v>368</v>
      </c>
      <c r="B33" s="32"/>
      <c r="C33" s="231"/>
      <c r="D33" s="168"/>
      <c r="E33" s="146"/>
      <c r="F33" s="146"/>
      <c r="G33" s="146">
        <v>131.5</v>
      </c>
      <c r="H33" s="226"/>
    </row>
    <row r="34" spans="1:7" s="53" customFormat="1" ht="15" customHeight="1">
      <c r="A34" s="349" t="s">
        <v>189</v>
      </c>
      <c r="B34" s="32" t="s">
        <v>236</v>
      </c>
      <c r="C34" s="55">
        <v>20.384</v>
      </c>
      <c r="D34" s="146">
        <f>915*0.49</f>
        <v>448.34999999999997</v>
      </c>
      <c r="E34" s="146">
        <f>1.67+1.67+1.39+1.84+1.4+1.4+0.84+1.4+1.81+1.81</f>
        <v>15.23</v>
      </c>
      <c r="F34" s="146">
        <f>5.15+5.05+2.5+2.59+2.62+2.73+2.58+2.5</f>
        <v>25.72</v>
      </c>
      <c r="G34" s="146">
        <f>D34+E34+F34</f>
        <v>489.29999999999995</v>
      </c>
    </row>
    <row r="35" spans="1:7" s="156" customFormat="1" ht="15" customHeight="1">
      <c r="A35" s="86" t="s">
        <v>223</v>
      </c>
      <c r="B35" s="111"/>
      <c r="C35" s="124"/>
      <c r="D35" s="148"/>
      <c r="E35" s="148"/>
      <c r="F35" s="148"/>
      <c r="G35" s="148">
        <f>SUM(G33:G34)</f>
        <v>620.8</v>
      </c>
    </row>
    <row r="36" spans="1:7" s="51" customFormat="1" ht="15" customHeight="1">
      <c r="A36" s="37" t="s">
        <v>32</v>
      </c>
      <c r="B36" s="132"/>
      <c r="C36" s="59"/>
      <c r="D36" s="150"/>
      <c r="E36" s="150"/>
      <c r="F36" s="150"/>
      <c r="G36" s="152"/>
    </row>
    <row r="37" spans="1:7" s="53" customFormat="1" ht="15" customHeight="1">
      <c r="A37" s="272" t="s">
        <v>189</v>
      </c>
      <c r="B37" s="32" t="s">
        <v>236</v>
      </c>
      <c r="C37" s="55">
        <v>20.384</v>
      </c>
      <c r="D37" s="146">
        <f>915*3.91</f>
        <v>3577.65</v>
      </c>
      <c r="E37" s="146">
        <f>13.36+13.36+11.14+14.71+11.18+11.18+6.71+11.18+14.48+14.48</f>
        <v>121.78</v>
      </c>
      <c r="F37" s="146">
        <f>41.54+40.73+19.95+20.73+20.97+21.82+20.63+19.97</f>
        <v>206.34</v>
      </c>
      <c r="G37" s="146">
        <f>D37+E37+F37</f>
        <v>3905.7700000000004</v>
      </c>
    </row>
    <row r="38" spans="1:8" s="156" customFormat="1" ht="15" customHeight="1">
      <c r="A38" s="86" t="s">
        <v>83</v>
      </c>
      <c r="B38" s="111"/>
      <c r="C38" s="124"/>
      <c r="D38" s="148"/>
      <c r="E38" s="148"/>
      <c r="F38" s="148"/>
      <c r="G38" s="148">
        <f>SUM(G37:G37)</f>
        <v>3905.7700000000004</v>
      </c>
      <c r="H38" s="227"/>
    </row>
    <row r="39" spans="1:7" s="158" customFormat="1" ht="15" customHeight="1">
      <c r="A39" s="273" t="s">
        <v>181</v>
      </c>
      <c r="B39" s="274"/>
      <c r="C39" s="172"/>
      <c r="D39" s="148">
        <f>D37+D34+D30+D26+D22+D18+D14+D10+D5+D7</f>
        <v>17458.2</v>
      </c>
      <c r="E39" s="148">
        <f>E5+E10+E14+E18+E22+E26+E30+E34+E37</f>
        <v>512.46</v>
      </c>
      <c r="F39" s="148">
        <f>F5+F10+F14+F18+F22+F26+F30+F34+F37</f>
        <v>1060.77</v>
      </c>
      <c r="G39" s="148">
        <f>G7+G11+G15+G19+G23+G27+G31+G35+G38</f>
        <v>24481.399999999998</v>
      </c>
    </row>
    <row r="42" ht="12.75">
      <c r="G42" s="83"/>
    </row>
    <row r="44" ht="12.75">
      <c r="B44" s="83"/>
    </row>
  </sheetData>
  <mergeCells count="2">
    <mergeCell ref="A2:F2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D31"/>
  <sheetViews>
    <sheetView workbookViewId="0" topLeftCell="A16">
      <selection activeCell="C14" sqref="C14"/>
    </sheetView>
  </sheetViews>
  <sheetFormatPr defaultColWidth="9.140625" defaultRowHeight="12.75"/>
  <cols>
    <col min="1" max="1" width="42.8515625" style="56" customWidth="1"/>
    <col min="2" max="2" width="40.421875" style="54" customWidth="1"/>
    <col min="3" max="3" width="18.421875" style="54" customWidth="1"/>
    <col min="4" max="16384" width="11.57421875" style="54" customWidth="1"/>
  </cols>
  <sheetData>
    <row r="1" spans="1:4" s="48" customFormat="1" ht="30" customHeight="1">
      <c r="A1" s="563" t="s">
        <v>265</v>
      </c>
      <c r="B1" s="564"/>
      <c r="C1" s="565"/>
      <c r="D1" s="208"/>
    </row>
    <row r="2" spans="1:3" s="49" customFormat="1" ht="60.75" customHeight="1" thickBot="1">
      <c r="A2" s="560" t="s">
        <v>183</v>
      </c>
      <c r="B2" s="561"/>
      <c r="C2" s="562"/>
    </row>
    <row r="3" spans="1:3" s="50" customFormat="1" ht="15" customHeight="1">
      <c r="A3" s="117" t="s">
        <v>12</v>
      </c>
      <c r="B3" s="26" t="s">
        <v>179</v>
      </c>
      <c r="C3" s="64" t="s">
        <v>20</v>
      </c>
    </row>
    <row r="4" spans="1:3" s="51" customFormat="1" ht="15" customHeight="1">
      <c r="A4" s="28" t="s">
        <v>26</v>
      </c>
      <c r="B4" s="58"/>
      <c r="C4" s="61"/>
    </row>
    <row r="5" spans="1:3" s="52" customFormat="1" ht="15" customHeight="1">
      <c r="A5" s="249" t="s">
        <v>82</v>
      </c>
      <c r="B5" s="251" t="s">
        <v>239</v>
      </c>
      <c r="C5" s="149">
        <v>269.79</v>
      </c>
    </row>
    <row r="6" spans="1:3" s="154" customFormat="1" ht="15" customHeight="1">
      <c r="A6" s="70" t="s">
        <v>40</v>
      </c>
      <c r="B6" s="159"/>
      <c r="C6" s="148">
        <f>SUM(C5:C5)</f>
        <v>269.79</v>
      </c>
    </row>
    <row r="7" spans="1:3" s="51" customFormat="1" ht="15" customHeight="1">
      <c r="A7" s="28" t="s">
        <v>24</v>
      </c>
      <c r="B7" s="104"/>
      <c r="C7" s="151"/>
    </row>
    <row r="8" spans="1:3" s="52" customFormat="1" ht="15" customHeight="1">
      <c r="A8" s="249" t="s">
        <v>82</v>
      </c>
      <c r="B8" s="251" t="s">
        <v>239</v>
      </c>
      <c r="C8" s="149">
        <v>1500.42</v>
      </c>
    </row>
    <row r="9" spans="1:3" s="154" customFormat="1" ht="15" customHeight="1">
      <c r="A9" s="70" t="s">
        <v>204</v>
      </c>
      <c r="B9" s="159"/>
      <c r="C9" s="148">
        <f>SUM(C8:C8)</f>
        <v>1500.42</v>
      </c>
    </row>
    <row r="10" spans="1:3" s="51" customFormat="1" ht="15" customHeight="1">
      <c r="A10" s="28" t="s">
        <v>27</v>
      </c>
      <c r="B10" s="104"/>
      <c r="C10" s="151"/>
    </row>
    <row r="11" spans="1:3" s="52" customFormat="1" ht="15" customHeight="1">
      <c r="A11" s="249" t="s">
        <v>82</v>
      </c>
      <c r="B11" s="251" t="s">
        <v>239</v>
      </c>
      <c r="C11" s="149">
        <v>121.26</v>
      </c>
    </row>
    <row r="12" spans="1:3" s="154" customFormat="1" ht="15" customHeight="1">
      <c r="A12" s="70" t="s">
        <v>188</v>
      </c>
      <c r="B12" s="159"/>
      <c r="C12" s="148">
        <f>SUM(C11:C11)</f>
        <v>121.26</v>
      </c>
    </row>
    <row r="13" spans="1:3" s="51" customFormat="1" ht="15" customHeight="1">
      <c r="A13" s="28" t="s">
        <v>28</v>
      </c>
      <c r="B13" s="104"/>
      <c r="C13" s="151"/>
    </row>
    <row r="14" spans="1:3" s="52" customFormat="1" ht="15" customHeight="1">
      <c r="A14" s="249" t="s">
        <v>82</v>
      </c>
      <c r="B14" s="251" t="s">
        <v>239</v>
      </c>
      <c r="C14" s="149">
        <v>362.52</v>
      </c>
    </row>
    <row r="15" spans="1:3" s="156" customFormat="1" ht="15" customHeight="1">
      <c r="A15" s="70" t="s">
        <v>67</v>
      </c>
      <c r="B15" s="160"/>
      <c r="C15" s="148">
        <f>SUM(C14:C14)</f>
        <v>362.52</v>
      </c>
    </row>
    <row r="16" spans="1:3" s="51" customFormat="1" ht="15" customHeight="1">
      <c r="A16" s="28" t="s">
        <v>25</v>
      </c>
      <c r="B16" s="104"/>
      <c r="C16" s="152"/>
    </row>
    <row r="17" spans="1:3" s="52" customFormat="1" ht="15" customHeight="1">
      <c r="A17" s="249" t="s">
        <v>82</v>
      </c>
      <c r="B17" s="251" t="s">
        <v>239</v>
      </c>
      <c r="C17" s="149">
        <v>246.71</v>
      </c>
    </row>
    <row r="18" spans="1:3" s="156" customFormat="1" ht="15" customHeight="1">
      <c r="A18" s="70" t="s">
        <v>174</v>
      </c>
      <c r="B18" s="160"/>
      <c r="C18" s="148">
        <f>SUM(C17:C17)</f>
        <v>246.71</v>
      </c>
    </row>
    <row r="19" spans="1:3" s="51" customFormat="1" ht="15" customHeight="1">
      <c r="A19" s="28" t="s">
        <v>29</v>
      </c>
      <c r="B19" s="104"/>
      <c r="C19" s="152"/>
    </row>
    <row r="20" spans="1:3" s="52" customFormat="1" ht="15" customHeight="1">
      <c r="A20" s="249" t="s">
        <v>82</v>
      </c>
      <c r="B20" s="251" t="s">
        <v>239</v>
      </c>
      <c r="C20" s="149">
        <v>166.15</v>
      </c>
    </row>
    <row r="21" spans="1:3" s="156" customFormat="1" ht="15" customHeight="1">
      <c r="A21" s="70" t="s">
        <v>213</v>
      </c>
      <c r="B21" s="160"/>
      <c r="C21" s="148">
        <f>SUM(C20:C20)</f>
        <v>166.15</v>
      </c>
    </row>
    <row r="22" spans="1:3" s="51" customFormat="1" ht="15" customHeight="1">
      <c r="A22" s="28" t="s">
        <v>30</v>
      </c>
      <c r="B22" s="104"/>
      <c r="C22" s="152"/>
    </row>
    <row r="23" spans="1:3" s="52" customFormat="1" ht="15" customHeight="1">
      <c r="A23" s="249" t="s">
        <v>82</v>
      </c>
      <c r="B23" s="251" t="s">
        <v>239</v>
      </c>
      <c r="C23" s="149">
        <v>623.5</v>
      </c>
    </row>
    <row r="24" spans="1:3" s="156" customFormat="1" ht="15" customHeight="1">
      <c r="A24" s="70" t="s">
        <v>175</v>
      </c>
      <c r="B24" s="160"/>
      <c r="C24" s="148">
        <f>SUM(C23:C23)</f>
        <v>623.5</v>
      </c>
    </row>
    <row r="25" spans="1:3" s="51" customFormat="1" ht="15" customHeight="1">
      <c r="A25" s="28" t="s">
        <v>31</v>
      </c>
      <c r="B25" s="104"/>
      <c r="C25" s="152"/>
    </row>
    <row r="26" spans="1:3" s="52" customFormat="1" ht="15" customHeight="1">
      <c r="A26" s="249" t="s">
        <v>82</v>
      </c>
      <c r="B26" s="251" t="s">
        <v>239</v>
      </c>
      <c r="C26" s="149">
        <v>100.7</v>
      </c>
    </row>
    <row r="27" spans="1:3" s="156" customFormat="1" ht="15" customHeight="1">
      <c r="A27" s="70" t="s">
        <v>223</v>
      </c>
      <c r="B27" s="160"/>
      <c r="C27" s="148">
        <f>SUM(C26:C26)</f>
        <v>100.7</v>
      </c>
    </row>
    <row r="28" spans="1:3" s="51" customFormat="1" ht="15" customHeight="1">
      <c r="A28" s="28" t="s">
        <v>32</v>
      </c>
      <c r="B28" s="104"/>
      <c r="C28" s="152"/>
    </row>
    <row r="29" spans="1:3" s="52" customFormat="1" ht="15" customHeight="1">
      <c r="A29" s="249" t="s">
        <v>82</v>
      </c>
      <c r="B29" s="279" t="s">
        <v>239</v>
      </c>
      <c r="C29" s="275">
        <v>804.76</v>
      </c>
    </row>
    <row r="30" spans="1:3" s="156" customFormat="1" ht="15" customHeight="1">
      <c r="A30" s="71" t="s">
        <v>83</v>
      </c>
      <c r="B30" s="111"/>
      <c r="C30" s="148">
        <f>SUM(C29:C29)</f>
        <v>804.76</v>
      </c>
    </row>
    <row r="31" spans="1:3" s="158" customFormat="1" ht="15" customHeight="1">
      <c r="A31" s="68" t="s">
        <v>181</v>
      </c>
      <c r="B31" s="157"/>
      <c r="C31" s="148">
        <f>C30+C27+C24+C21+C18+C15+C12+C9+C6</f>
        <v>4195.81</v>
      </c>
    </row>
  </sheetData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37"/>
  <sheetViews>
    <sheetView workbookViewId="0" topLeftCell="A1">
      <selection activeCell="A29" sqref="A29"/>
    </sheetView>
  </sheetViews>
  <sheetFormatPr defaultColWidth="9.140625" defaultRowHeight="12.75"/>
  <cols>
    <col min="1" max="1" width="39.00390625" style="56" customWidth="1"/>
    <col min="2" max="2" width="41.421875" style="54" customWidth="1"/>
    <col min="3" max="3" width="11.57421875" style="33" customWidth="1"/>
    <col min="4" max="4" width="16.7109375" style="33" customWidth="1"/>
    <col min="5" max="5" width="24.7109375" style="34" customWidth="1"/>
    <col min="6" max="16384" width="11.57421875" style="54" customWidth="1"/>
  </cols>
  <sheetData>
    <row r="1" spans="1:6" s="48" customFormat="1" ht="30" customHeight="1">
      <c r="A1" s="545" t="s">
        <v>352</v>
      </c>
      <c r="B1" s="545"/>
      <c r="C1" s="545"/>
      <c r="D1" s="545"/>
      <c r="E1" s="545"/>
      <c r="F1" s="254">
        <v>40071153</v>
      </c>
    </row>
    <row r="2" spans="1:5" s="49" customFormat="1" ht="39" customHeight="1">
      <c r="A2" s="551" t="s">
        <v>59</v>
      </c>
      <c r="B2" s="552"/>
      <c r="C2" s="559"/>
      <c r="D2" s="559"/>
      <c r="E2" s="559"/>
    </row>
    <row r="3" spans="1:5" s="50" customFormat="1" ht="15" customHeight="1">
      <c r="A3" s="42" t="s">
        <v>165</v>
      </c>
      <c r="B3" s="42" t="s">
        <v>11</v>
      </c>
      <c r="C3" s="29" t="s">
        <v>160</v>
      </c>
      <c r="D3" s="360" t="s">
        <v>163</v>
      </c>
      <c r="E3" s="79" t="s">
        <v>60</v>
      </c>
    </row>
    <row r="4" spans="1:5" s="51" customFormat="1" ht="15" customHeight="1">
      <c r="A4" s="77" t="s">
        <v>26</v>
      </c>
      <c r="B4" s="358"/>
      <c r="C4" s="87"/>
      <c r="D4" s="87"/>
      <c r="E4" s="67"/>
    </row>
    <row r="5" spans="1:8" s="73" customFormat="1" ht="15" customHeight="1">
      <c r="A5" s="350" t="s">
        <v>368</v>
      </c>
      <c r="B5" s="317"/>
      <c r="C5" s="351"/>
      <c r="D5" s="352"/>
      <c r="E5" s="353">
        <v>3464</v>
      </c>
      <c r="F5" s="226"/>
      <c r="G5" s="226"/>
      <c r="H5" s="226"/>
    </row>
    <row r="6" spans="1:5" s="53" customFormat="1" ht="15" customHeight="1">
      <c r="A6" s="532"/>
      <c r="B6" s="532"/>
      <c r="C6" s="301">
        <v>2</v>
      </c>
      <c r="D6" s="301"/>
      <c r="E6" s="355">
        <v>17320</v>
      </c>
    </row>
    <row r="7" spans="1:5" s="161" customFormat="1" ht="15" customHeight="1">
      <c r="A7" s="75" t="s">
        <v>40</v>
      </c>
      <c r="B7" s="276"/>
      <c r="C7" s="121">
        <f>SUM(C6:C6)</f>
        <v>2</v>
      </c>
      <c r="D7" s="113"/>
      <c r="E7" s="147">
        <f>SUM(E5:E6)</f>
        <v>20784</v>
      </c>
    </row>
    <row r="8" spans="1:5" s="51" customFormat="1" ht="15" customHeight="1">
      <c r="A8" s="28" t="s">
        <v>24</v>
      </c>
      <c r="B8" s="58"/>
      <c r="C8" s="29"/>
      <c r="D8" s="29"/>
      <c r="E8" s="356"/>
    </row>
    <row r="9" spans="1:5" s="73" customFormat="1" ht="15" customHeight="1">
      <c r="A9" s="532"/>
      <c r="B9" s="532"/>
      <c r="C9" s="300">
        <v>2</v>
      </c>
      <c r="D9" s="300">
        <v>2000</v>
      </c>
      <c r="E9" s="353">
        <v>2050</v>
      </c>
    </row>
    <row r="10" spans="1:5" s="73" customFormat="1" ht="15" customHeight="1">
      <c r="A10" s="532"/>
      <c r="B10" s="532"/>
      <c r="C10" s="300">
        <v>1</v>
      </c>
      <c r="D10" s="300">
        <v>2004</v>
      </c>
      <c r="E10" s="353">
        <v>1260</v>
      </c>
    </row>
    <row r="11" spans="1:5" s="73" customFormat="1" ht="15" customHeight="1">
      <c r="A11" s="532"/>
      <c r="B11" s="532"/>
      <c r="C11" s="300">
        <v>1</v>
      </c>
      <c r="D11" s="300">
        <v>2002</v>
      </c>
      <c r="E11" s="353">
        <v>6761.6</v>
      </c>
    </row>
    <row r="12" spans="1:5" s="73" customFormat="1" ht="15" customHeight="1">
      <c r="A12" s="532"/>
      <c r="B12" s="532"/>
      <c r="C12" s="300">
        <v>1</v>
      </c>
      <c r="D12" s="300">
        <v>2003</v>
      </c>
      <c r="E12" s="353">
        <v>5160</v>
      </c>
    </row>
    <row r="13" spans="1:5" s="73" customFormat="1" ht="15" customHeight="1">
      <c r="A13" s="532"/>
      <c r="B13" s="532"/>
      <c r="C13" s="300">
        <v>1</v>
      </c>
      <c r="D13" s="300">
        <v>2007</v>
      </c>
      <c r="E13" s="353">
        <v>4822</v>
      </c>
    </row>
    <row r="14" spans="1:5" s="73" customFormat="1" ht="15" customHeight="1">
      <c r="A14" s="532"/>
      <c r="B14" s="532"/>
      <c r="C14" s="300">
        <v>1</v>
      </c>
      <c r="D14" s="300">
        <v>1999</v>
      </c>
      <c r="E14" s="353">
        <v>7260</v>
      </c>
    </row>
    <row r="15" spans="1:5" s="73" customFormat="1" ht="15" customHeight="1">
      <c r="A15" s="532"/>
      <c r="B15" s="532"/>
      <c r="C15" s="300">
        <v>1</v>
      </c>
      <c r="D15" s="300"/>
      <c r="E15" s="353">
        <v>565</v>
      </c>
    </row>
    <row r="16" spans="1:5" s="73" customFormat="1" ht="15" customHeight="1">
      <c r="A16" s="532"/>
      <c r="B16" s="532"/>
      <c r="C16" s="300">
        <v>1</v>
      </c>
      <c r="D16" s="300"/>
      <c r="E16" s="353">
        <v>3096</v>
      </c>
    </row>
    <row r="17" spans="1:5" s="73" customFormat="1" ht="15" customHeight="1">
      <c r="A17" s="532"/>
      <c r="B17" s="532"/>
      <c r="C17" s="300">
        <v>1</v>
      </c>
      <c r="D17" s="300"/>
      <c r="E17" s="353">
        <v>6683</v>
      </c>
    </row>
    <row r="18" spans="1:5" s="73" customFormat="1" ht="15" customHeight="1">
      <c r="A18" s="532"/>
      <c r="B18" s="532"/>
      <c r="C18" s="300">
        <v>1</v>
      </c>
      <c r="D18" s="300"/>
      <c r="E18" s="353">
        <v>3732.4</v>
      </c>
    </row>
    <row r="19" spans="1:5" s="73" customFormat="1" ht="15" customHeight="1">
      <c r="A19" s="532"/>
      <c r="B19" s="532"/>
      <c r="C19" s="300">
        <v>1</v>
      </c>
      <c r="D19" s="300">
        <v>1998</v>
      </c>
      <c r="E19" s="353">
        <v>6944</v>
      </c>
    </row>
    <row r="20" spans="1:5" s="161" customFormat="1" ht="15" customHeight="1">
      <c r="A20" s="75" t="s">
        <v>204</v>
      </c>
      <c r="B20" s="276"/>
      <c r="C20" s="121">
        <f>SUM(C9:C19)</f>
        <v>12</v>
      </c>
      <c r="D20" s="121"/>
      <c r="E20" s="147">
        <f>SUM(E9:E19)</f>
        <v>48334</v>
      </c>
    </row>
    <row r="21" spans="1:5" s="213" customFormat="1" ht="15" customHeight="1">
      <c r="A21" s="214" t="s">
        <v>27</v>
      </c>
      <c r="B21" s="211"/>
      <c r="C21" s="212"/>
      <c r="D21" s="212"/>
      <c r="E21" s="167"/>
    </row>
    <row r="22" spans="1:5" s="73" customFormat="1" ht="15" customHeight="1">
      <c r="A22" s="532"/>
      <c r="B22" s="532"/>
      <c r="C22" s="300">
        <v>1</v>
      </c>
      <c r="D22" s="300"/>
      <c r="E22" s="353">
        <v>4193.4</v>
      </c>
    </row>
    <row r="23" spans="1:5" s="161" customFormat="1" ht="15" customHeight="1">
      <c r="A23" s="210" t="s">
        <v>117</v>
      </c>
      <c r="B23" s="277"/>
      <c r="C23" s="121">
        <f>SUM(C22)</f>
        <v>1</v>
      </c>
      <c r="D23" s="121"/>
      <c r="E23" s="147">
        <f>SUM(E22)</f>
        <v>4193.4</v>
      </c>
    </row>
    <row r="24" spans="1:5" s="213" customFormat="1" ht="15" customHeight="1">
      <c r="A24" s="214" t="s">
        <v>28</v>
      </c>
      <c r="B24" s="211"/>
      <c r="C24" s="212"/>
      <c r="D24" s="212"/>
      <c r="E24" s="167"/>
    </row>
    <row r="25" spans="1:8" s="73" customFormat="1" ht="15" customHeight="1">
      <c r="A25" s="350" t="s">
        <v>368</v>
      </c>
      <c r="B25" s="317"/>
      <c r="C25" s="351"/>
      <c r="D25" s="352"/>
      <c r="E25" s="353">
        <v>1032</v>
      </c>
      <c r="F25" s="226"/>
      <c r="G25" s="226"/>
      <c r="H25" s="226"/>
    </row>
    <row r="26" spans="1:5" s="220" customFormat="1" ht="15" customHeight="1">
      <c r="A26" s="532"/>
      <c r="B26" s="532"/>
      <c r="C26" s="357">
        <v>1</v>
      </c>
      <c r="D26" s="357"/>
      <c r="E26" s="353">
        <f>516*6+1032</f>
        <v>4128</v>
      </c>
    </row>
    <row r="27" spans="1:5" s="161" customFormat="1" ht="15" customHeight="1">
      <c r="A27" s="210" t="s">
        <v>67</v>
      </c>
      <c r="B27" s="277"/>
      <c r="C27" s="121">
        <f>SUM(C26)</f>
        <v>1</v>
      </c>
      <c r="D27" s="121"/>
      <c r="E27" s="147">
        <f>SUM(E25:E26)</f>
        <v>5160</v>
      </c>
    </row>
    <row r="28" spans="1:5" s="51" customFormat="1" ht="15" customHeight="1">
      <c r="A28" s="77" t="s">
        <v>29</v>
      </c>
      <c r="B28" s="358"/>
      <c r="C28" s="29"/>
      <c r="D28" s="29"/>
      <c r="E28" s="356"/>
    </row>
    <row r="29" spans="1:8" s="73" customFormat="1" ht="15" customHeight="1">
      <c r="A29" s="350" t="s">
        <v>368</v>
      </c>
      <c r="B29" s="317"/>
      <c r="C29" s="351"/>
      <c r="D29" s="352"/>
      <c r="E29" s="353">
        <v>2000</v>
      </c>
      <c r="F29" s="226"/>
      <c r="G29" s="226"/>
      <c r="H29" s="226"/>
    </row>
    <row r="30" spans="1:5" s="73" customFormat="1" ht="15" customHeight="1">
      <c r="A30" s="532"/>
      <c r="B30" s="532"/>
      <c r="C30" s="300">
        <v>1</v>
      </c>
      <c r="D30" s="300">
        <v>1995</v>
      </c>
      <c r="E30" s="353">
        <v>10012</v>
      </c>
    </row>
    <row r="31" spans="1:5" s="73" customFormat="1" ht="15" customHeight="1">
      <c r="A31" s="532"/>
      <c r="B31" s="532"/>
      <c r="C31" s="300">
        <v>1</v>
      </c>
      <c r="D31" s="300"/>
      <c r="E31" s="353">
        <v>1500</v>
      </c>
    </row>
    <row r="32" spans="1:5" s="161" customFormat="1" ht="15" customHeight="1">
      <c r="A32" s="75" t="s">
        <v>213</v>
      </c>
      <c r="B32" s="276"/>
      <c r="C32" s="112">
        <v>2</v>
      </c>
      <c r="D32" s="113"/>
      <c r="E32" s="147">
        <f>SUM(E29:E31)</f>
        <v>13512</v>
      </c>
    </row>
    <row r="33" spans="1:5" s="51" customFormat="1" ht="15" customHeight="1">
      <c r="A33" s="28" t="s">
        <v>32</v>
      </c>
      <c r="B33" s="58"/>
      <c r="C33" s="29"/>
      <c r="D33" s="29"/>
      <c r="E33" s="356"/>
    </row>
    <row r="34" spans="1:5" s="73" customFormat="1" ht="15" customHeight="1">
      <c r="A34" s="532"/>
      <c r="B34" s="532"/>
      <c r="C34" s="300">
        <v>1</v>
      </c>
      <c r="D34" s="300">
        <v>1994</v>
      </c>
      <c r="E34" s="353">
        <f>7869.41-516</f>
        <v>7353.41</v>
      </c>
    </row>
    <row r="35" spans="1:5" s="73" customFormat="1" ht="15" customHeight="1">
      <c r="A35" s="532"/>
      <c r="B35" s="532"/>
      <c r="C35" s="359">
        <v>1</v>
      </c>
      <c r="D35" s="300"/>
      <c r="E35" s="353">
        <v>516</v>
      </c>
    </row>
    <row r="36" spans="1:5" s="161" customFormat="1" ht="15" customHeight="1">
      <c r="A36" s="76" t="s">
        <v>83</v>
      </c>
      <c r="B36" s="278"/>
      <c r="C36" s="175">
        <f>SUM(C34:C35)</f>
        <v>2</v>
      </c>
      <c r="D36" s="113"/>
      <c r="E36" s="147">
        <f>SUM(E34:E35)</f>
        <v>7869.41</v>
      </c>
    </row>
    <row r="37" spans="1:5" s="162" customFormat="1" ht="15" customHeight="1">
      <c r="A37" s="39" t="s">
        <v>181</v>
      </c>
      <c r="B37" s="110"/>
      <c r="C37" s="103">
        <f>C36+C32+C27+C23+C20+C7</f>
        <v>20</v>
      </c>
      <c r="D37" s="111"/>
      <c r="E37" s="148">
        <f>E36+E32+E27+E23+E20+E7</f>
        <v>99852.81</v>
      </c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E11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56" customWidth="1"/>
    <col min="2" max="2" width="41.421875" style="54" customWidth="1"/>
    <col min="3" max="3" width="11.8515625" style="33" customWidth="1"/>
    <col min="4" max="4" width="24.57421875" style="34" customWidth="1"/>
    <col min="5" max="5" width="18.140625" style="54" customWidth="1"/>
    <col min="6" max="16384" width="11.57421875" style="54" customWidth="1"/>
  </cols>
  <sheetData>
    <row r="1" spans="1:5" s="48" customFormat="1" ht="30" customHeight="1">
      <c r="A1" s="566" t="s">
        <v>353</v>
      </c>
      <c r="B1" s="566"/>
      <c r="C1" s="566"/>
      <c r="D1" s="566"/>
      <c r="E1" s="254"/>
    </row>
    <row r="2" spans="1:4" s="49" customFormat="1" ht="39" customHeight="1">
      <c r="A2" s="551" t="s">
        <v>61</v>
      </c>
      <c r="B2" s="552"/>
      <c r="C2" s="553"/>
      <c r="D2" s="553"/>
    </row>
    <row r="3" spans="1:4" s="50" customFormat="1" ht="15" customHeight="1">
      <c r="A3" s="42"/>
      <c r="B3" s="42" t="s">
        <v>21</v>
      </c>
      <c r="C3" s="29" t="s">
        <v>160</v>
      </c>
      <c r="D3" s="79" t="s">
        <v>354</v>
      </c>
    </row>
    <row r="4" spans="1:4" s="53" customFormat="1" ht="15" customHeight="1">
      <c r="A4" s="533"/>
      <c r="B4" s="533"/>
      <c r="C4" s="31">
        <v>2</v>
      </c>
      <c r="D4" s="144">
        <v>540</v>
      </c>
    </row>
    <row r="5" spans="1:4" s="53" customFormat="1" ht="15" customHeight="1">
      <c r="A5" s="533"/>
      <c r="B5" s="533"/>
      <c r="C5" s="31">
        <v>1</v>
      </c>
      <c r="D5" s="144">
        <v>640</v>
      </c>
    </row>
    <row r="6" spans="1:4" s="53" customFormat="1" ht="15" customHeight="1">
      <c r="A6" s="533"/>
      <c r="B6" s="533"/>
      <c r="C6" s="31">
        <v>1</v>
      </c>
      <c r="D6" s="144">
        <v>440</v>
      </c>
    </row>
    <row r="7" spans="1:4" s="53" customFormat="1" ht="15" customHeight="1">
      <c r="A7" s="533"/>
      <c r="B7" s="533"/>
      <c r="C7" s="31">
        <v>2</v>
      </c>
      <c r="D7" s="144">
        <f>360+360+587.75</f>
        <v>1307.75</v>
      </c>
    </row>
    <row r="8" spans="1:4" s="53" customFormat="1" ht="15" customHeight="1">
      <c r="A8" s="533"/>
      <c r="B8" s="533"/>
      <c r="C8" s="31">
        <v>1</v>
      </c>
      <c r="D8" s="144">
        <v>630</v>
      </c>
    </row>
    <row r="9" spans="1:4" s="53" customFormat="1" ht="15" customHeight="1">
      <c r="A9" s="533"/>
      <c r="B9" s="533"/>
      <c r="C9" s="31">
        <v>1</v>
      </c>
      <c r="D9" s="144">
        <v>480</v>
      </c>
    </row>
    <row r="10" spans="1:4" s="53" customFormat="1" ht="15" customHeight="1">
      <c r="A10" s="533"/>
      <c r="B10" s="533"/>
      <c r="C10" s="31">
        <v>2</v>
      </c>
      <c r="D10" s="144">
        <v>480</v>
      </c>
    </row>
    <row r="11" spans="1:4" ht="15.75">
      <c r="A11" s="80" t="s">
        <v>181</v>
      </c>
      <c r="B11" s="145"/>
      <c r="C11" s="103">
        <v>10</v>
      </c>
      <c r="D11" s="148">
        <v>4517.75</v>
      </c>
    </row>
  </sheetData>
  <mergeCells count="2">
    <mergeCell ref="A2:D2"/>
    <mergeCell ref="A1:D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LTorri</cp:lastModifiedBy>
  <cp:lastPrinted>2013-01-07T16:18:30Z</cp:lastPrinted>
  <dcterms:created xsi:type="dcterms:W3CDTF">2011-02-15T18:46:20Z</dcterms:created>
  <dcterms:modified xsi:type="dcterms:W3CDTF">2013-09-12T12:22:09Z</dcterms:modified>
  <cp:category/>
  <cp:version/>
  <cp:contentType/>
  <cp:contentStatus/>
</cp:coreProperties>
</file>